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Planilha Orçamentária" sheetId="1" r:id="rId1"/>
    <sheet name="Cronograma" sheetId="2" r:id="rId2"/>
  </sheets>
  <definedNames>
    <definedName name="_xlnm.Print_Area" localSheetId="1">'Cronograma'!$B$1:$M$39</definedName>
    <definedName name="_xlnm.Print_Area" localSheetId="0">'Planilha Orçamentária'!$B$1:$I$198</definedName>
    <definedName name="_xlnm.Print_Titles" localSheetId="0">'Planilha Orçamentária'!$1:$11</definedName>
  </definedNames>
  <calcPr fullCalcOnLoad="1"/>
</workbook>
</file>

<file path=xl/sharedStrings.xml><?xml version="1.0" encoding="utf-8"?>
<sst xmlns="http://schemas.openxmlformats.org/spreadsheetml/2006/main" count="669" uniqueCount="460">
  <si>
    <t>Item</t>
  </si>
  <si>
    <t>Descrição</t>
  </si>
  <si>
    <t>Quant.</t>
  </si>
  <si>
    <t>Unid.</t>
  </si>
  <si>
    <t>Valor Unitário</t>
  </si>
  <si>
    <t>Valor Total</t>
  </si>
  <si>
    <t>Subtotal</t>
  </si>
  <si>
    <t>2.1</t>
  </si>
  <si>
    <t>2.2</t>
  </si>
  <si>
    <t>2.3</t>
  </si>
  <si>
    <t>2.5</t>
  </si>
  <si>
    <t>2.6</t>
  </si>
  <si>
    <t>2.7</t>
  </si>
  <si>
    <t>2.8</t>
  </si>
  <si>
    <t>2.9</t>
  </si>
  <si>
    <t>2.10</t>
  </si>
  <si>
    <t>Alvenaria de fundação e embasamento com tijolo maciço comum</t>
  </si>
  <si>
    <t>SUPERESTRUTURA</t>
  </si>
  <si>
    <t>COBERTURA</t>
  </si>
  <si>
    <t>INSTALAÇÕES HIDRÁULICAS DE ESGOTO</t>
  </si>
  <si>
    <t>INSTALAÇÕES HIDRÁULICAS PARA ÁGUA</t>
  </si>
  <si>
    <t>Torneira de bóia em latão DN 20mm (3/4")</t>
  </si>
  <si>
    <t>ALVENARIA E OUTROS ELEMENTOS DIVISÓRIOS</t>
  </si>
  <si>
    <t>INSTALAÇÕES ELÉTRICAS</t>
  </si>
  <si>
    <t>Chapisco</t>
  </si>
  <si>
    <t>REVESTIMENTO TETO E PAREDE</t>
  </si>
  <si>
    <t>REVESTIMENTO DE PISO</t>
  </si>
  <si>
    <t>PINTURA</t>
  </si>
  <si>
    <t>SERVIÇOS COMPLEMENTARES</t>
  </si>
  <si>
    <t>3.1</t>
  </si>
  <si>
    <t>3.2</t>
  </si>
  <si>
    <t>3.3</t>
  </si>
  <si>
    <t>TOTAL</t>
  </si>
  <si>
    <t>m</t>
  </si>
  <si>
    <t>unid.</t>
  </si>
  <si>
    <t>Kg</t>
  </si>
  <si>
    <t>4.1</t>
  </si>
  <si>
    <t>Aco CA 50 (A ou B) FYK=500 Mpa</t>
  </si>
  <si>
    <t>ELEMENTOS DE MADEIRA E PVC</t>
  </si>
  <si>
    <t>ITEM</t>
  </si>
  <si>
    <t>DESCRIÇÃO DO SERVIÇO</t>
  </si>
  <si>
    <t>1° MÊS</t>
  </si>
  <si>
    <t>2° MÊS</t>
  </si>
  <si>
    <t>3° MÊS</t>
  </si>
  <si>
    <t>CRONOGRAMA FÍSICO-FINANCEIRO</t>
  </si>
  <si>
    <t>LIMPEZA DA OBRA</t>
  </si>
  <si>
    <t>Prefeito Municipal</t>
  </si>
  <si>
    <t>Escavação manual em solo de 1° ou 2° categoria em vala ou cava até 1,5m de profundidade</t>
  </si>
  <si>
    <t>Broca de concreto armado de diâmetro 25 cm - completa</t>
  </si>
  <si>
    <t>Fôrma plana em compensado para estrutura convencional</t>
  </si>
  <si>
    <t>Apiloamento de terreno e lastro de pedra britada e=5cm</t>
  </si>
  <si>
    <t>Laje pré-fabricada mista vigota treliçada/lajota E=12cm</t>
  </si>
  <si>
    <t>m²</t>
  </si>
  <si>
    <t>Tubo de PVC rígido, PxB com anel de borracha, DN=50mm - inclusive conexões</t>
  </si>
  <si>
    <t>Tubo de PVC rígido, PxB com anel de borracha, DN=100mm - inclusive conexões</t>
  </si>
  <si>
    <t>Caixa de gordura em alvenaria, 60x60x60 cm</t>
  </si>
  <si>
    <t>Caixa de inspeção 60x60x60 cm para esgoto</t>
  </si>
  <si>
    <t>Tubo de PVC rígido marrom DN 25 mm (3/4") inclusive conexões</t>
  </si>
  <si>
    <t>Tubo de PVC rígido marrom DN 50 mm (1.1/2") inclusive conexões</t>
  </si>
  <si>
    <t>Registro de gaveta em latão fundido sem acabamento, DN 1.1/2"</t>
  </si>
  <si>
    <t>Registro de gaveta em latão fundido cromado com canopla DN 3/4"</t>
  </si>
  <si>
    <t>Reservatório de fibra de vidro - capacidade 1000l</t>
  </si>
  <si>
    <t>Válvula de descarga com registro próprio (1.1/2")</t>
  </si>
  <si>
    <t>Dispenser papel higiênico em ABS para rolão 300/600m, com visor</t>
  </si>
  <si>
    <t>Dispenser toalheiro em ABS para folhas</t>
  </si>
  <si>
    <t>Quadro Telesp/Telebrás de embutir (IP40, chapa N°6 msg) de 200x200x120mm</t>
  </si>
  <si>
    <t>Disjuntor termomagnético, bipolar 220/380V, corrente de 10A até 50A</t>
  </si>
  <si>
    <t>Eletroduto de PVC corrugado flexível leve, diâmetro externo de 25mm</t>
  </si>
  <si>
    <t>Cabo de cobre de 16 mm2 - isolamento 750 V, isolação em PVC 70°C</t>
  </si>
  <si>
    <t>Cabo de cobre de 2,5 mm2 - isolamento 750 V, isolação em PVC 70°C</t>
  </si>
  <si>
    <t>Fio telefônico externo tipo FE-160</t>
  </si>
  <si>
    <t>Caixa de ferro estampada 4X2</t>
  </si>
  <si>
    <t>Interruptor com 1 tecla simples e placa</t>
  </si>
  <si>
    <t>Interruptor com 2 teclas simples e placa</t>
  </si>
  <si>
    <t>Interruptor com 3 teclas simples e placa</t>
  </si>
  <si>
    <t>Tomada para telefone 4P, padrão TELEBRÁS, com tampa</t>
  </si>
  <si>
    <t>Emboço comum</t>
  </si>
  <si>
    <t>Revestimento em placa cerâmica esmaltada para paredes internas, azulejo 20x20cm, assentado com argamassa colante industrializada</t>
  </si>
  <si>
    <t>m³</t>
  </si>
  <si>
    <t>Lastro de concreto impermeabilizado e=5cm</t>
  </si>
  <si>
    <t>Limpeza final da obra</t>
  </si>
  <si>
    <t>Impermeabilização com argamassa impermeável cim-areia 1:3 com aditivo hidrófugo</t>
  </si>
  <si>
    <t>Impermeabilização em pintura de asfalto oxidado com solventes orgânicos, sobre massa</t>
  </si>
  <si>
    <t>Torneira de mesa para lavatório, acionamento hidromecâmico, com registro integrado regulador de vazão, em latão cromado, DN=1/2"</t>
  </si>
  <si>
    <t>SERVIÇOS PRELIMINARES</t>
  </si>
  <si>
    <t>Locação da obra</t>
  </si>
  <si>
    <t>INFRAESTRUTURA E ALVENARIA DE EMBASAMENTO</t>
  </si>
  <si>
    <t>Registro de gaveta em latão fundido cromado com canopla DN 1 1/2"</t>
  </si>
  <si>
    <t>Torneira de bancada para pia com bica móvel e arejador, em latão fundido cromado</t>
  </si>
  <si>
    <t>ESQUADRIAS EM FERRO</t>
  </si>
  <si>
    <t>DIVISÓRIAS, SOLEIRAS, PEITORIS E BALCÕES</t>
  </si>
  <si>
    <t>Registro de gaveta em latão fundido sem acabamento, DN 3/4"</t>
  </si>
  <si>
    <t>Emboço desempenado</t>
  </si>
  <si>
    <t>Aco CA 60 (A ou B) FYK=500 Mpa</t>
  </si>
  <si>
    <t>Projeto estrutural</t>
  </si>
  <si>
    <t>Costrução provisória em madeira - fornecimento e montagem</t>
  </si>
  <si>
    <t>Lançamento e adensamento de concreto ou massa em estrutura (serviço auxiliar)</t>
  </si>
  <si>
    <t>Lançamento e adensamento de concreto ou massa em fundação (serviço auxiliar)</t>
  </si>
  <si>
    <t>Vergas, contravergas e pilaretes de concreto armado</t>
  </si>
  <si>
    <t>Rejuntamento em azulejo 20x20cm com argamassa colante industrializada para rejunte, juntas até 3mm</t>
  </si>
  <si>
    <t>Pára-raios de distribuição, classe 21KV/5KA, completo, encapsulado com polímero</t>
  </si>
  <si>
    <t>Fio telefônico pirp FI-60, para ligação de aparelhos telefônicos</t>
  </si>
  <si>
    <t>cj.</t>
  </si>
  <si>
    <t>Bacia sifonada sem tampa - 6 litros</t>
  </si>
  <si>
    <t>Tanque simples de concreto pré-moldado de 600x600mm</t>
  </si>
  <si>
    <t>Dispenser para sabonete líquido, refil de 800ml</t>
  </si>
  <si>
    <t>Assento para bacia sanitária com abertura frontal, para pessoas com mobilidade reduzida</t>
  </si>
  <si>
    <t>Tampa de plástico ára bacia sanitária</t>
  </si>
  <si>
    <t>Válvula de metal cromado de 1 1/2"</t>
  </si>
  <si>
    <t>Válvula americana</t>
  </si>
  <si>
    <t>Entrada completa de água, diâmetro 3/4", com abrigo</t>
  </si>
  <si>
    <t>Luminária de emergência</t>
  </si>
  <si>
    <t>1.1</t>
  </si>
  <si>
    <t>1.2</t>
  </si>
  <si>
    <t>1.5</t>
  </si>
  <si>
    <t>1.6</t>
  </si>
  <si>
    <t>3.5</t>
  </si>
  <si>
    <t>3.6</t>
  </si>
  <si>
    <t>3.7</t>
  </si>
  <si>
    <t>4.2</t>
  </si>
  <si>
    <t>4.3</t>
  </si>
  <si>
    <t>5.1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</si>
  <si>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</si>
  <si>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</si>
  <si>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</si>
  <si>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</si>
  <si>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</si>
  <si>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</si>
  <si>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</si>
  <si>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</si>
  <si>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</si>
  <si>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</si>
  <si>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</si>
  <si>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</si>
  <si>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</si>
  <si>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</si>
  <si>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</si>
  <si>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8.5</t>
  </si>
  <si>
    <t>8.6</t>
  </si>
  <si>
    <t>8.7</t>
  </si>
  <si>
    <t>8.8</t>
  </si>
  <si>
    <t>8.9</t>
  </si>
  <si>
    <t>8.11</t>
  </si>
  <si>
    <t>8.12</t>
  </si>
  <si>
    <t>8.13</t>
  </si>
  <si>
    <t>8.14</t>
  </si>
  <si>
    <t>8.15</t>
  </si>
  <si>
    <t>8.16</t>
  </si>
  <si>
    <t>8.17</t>
  </si>
  <si>
    <t>8.18</t>
  </si>
  <si>
    <t>8.20</t>
  </si>
  <si>
    <t>8.21</t>
  </si>
  <si>
    <t>10.1</t>
  </si>
  <si>
    <t>10.2</t>
  </si>
  <si>
    <t>11.1</t>
  </si>
  <si>
    <t>11.2</t>
  </si>
  <si>
    <t>11.3</t>
  </si>
  <si>
    <t>11.4</t>
  </si>
  <si>
    <t>11.5</t>
  </si>
  <si>
    <t>12.1</t>
  </si>
  <si>
    <t>12.2</t>
  </si>
  <si>
    <t>12.4</t>
  </si>
  <si>
    <t>12.5</t>
  </si>
  <si>
    <t>13.1</t>
  </si>
  <si>
    <t>13.2</t>
  </si>
  <si>
    <t>13.3</t>
  </si>
  <si>
    <t>14.1</t>
  </si>
  <si>
    <t>14.2</t>
  </si>
  <si>
    <t>15.3</t>
  </si>
  <si>
    <t>15.4</t>
  </si>
  <si>
    <t>15.5</t>
  </si>
  <si>
    <t>16.1</t>
  </si>
  <si>
    <t>17.1</t>
  </si>
  <si>
    <t>PAISAGISMO</t>
  </si>
  <si>
    <r>
      <t xml:space="preserve">REGIME DE EXECUÇÃO DA OBRA: </t>
    </r>
    <r>
      <rPr>
        <sz val="10"/>
        <rFont val="Arial"/>
        <family val="2"/>
      </rPr>
      <t>Empreitada Global</t>
    </r>
  </si>
  <si>
    <t>AREA</t>
  </si>
  <si>
    <t>Barra de apoio reta, para pessoas com mobilidade reduzida, em tubo de aço inoxidável de 1 1/2´ x 800 mm</t>
  </si>
  <si>
    <t>Látex PVA em massa, inclusive preparo</t>
  </si>
  <si>
    <t>Tinta 100% acrílica em massa, inclusive preparo</t>
  </si>
  <si>
    <t>Esmalte em superfície metálica, inclusive preparo</t>
  </si>
  <si>
    <t>Árvore ornamental tipo Areca Bambu - h=2,0m</t>
  </si>
  <si>
    <t>CPOS 20102</t>
  </si>
  <si>
    <t>CPOS 21002</t>
  </si>
  <si>
    <t>CPOS 60202</t>
  </si>
  <si>
    <t>CPOS 111804</t>
  </si>
  <si>
    <t>CPOS 120104</t>
  </si>
  <si>
    <t>CPOS 100104</t>
  </si>
  <si>
    <t>CPOS 100106</t>
  </si>
  <si>
    <t>CPOS 111604</t>
  </si>
  <si>
    <t>CPOS 140102</t>
  </si>
  <si>
    <t>CPOS 170202</t>
  </si>
  <si>
    <t>CPOS 321701</t>
  </si>
  <si>
    <t>CPOS 321601</t>
  </si>
  <si>
    <t>CPOS 90202</t>
  </si>
  <si>
    <t>CPOS 111606</t>
  </si>
  <si>
    <t>CPOS 130102</t>
  </si>
  <si>
    <t>CPOS 142001</t>
  </si>
  <si>
    <t>CPOS 460205</t>
  </si>
  <si>
    <t>CPOS 460207</t>
  </si>
  <si>
    <t>CPOS 490302</t>
  </si>
  <si>
    <t>CPOS 450102</t>
  </si>
  <si>
    <t>CPOS 460102</t>
  </si>
  <si>
    <t>CPOS 460105</t>
  </si>
  <si>
    <t>CPOS 470102</t>
  </si>
  <si>
    <t>CPOS 470105</t>
  </si>
  <si>
    <t>CPOS 470202</t>
  </si>
  <si>
    <t>CPOS 470205</t>
  </si>
  <si>
    <t>CPOS 480501</t>
  </si>
  <si>
    <t>CPOS 480202</t>
  </si>
  <si>
    <t>CPOS 470404</t>
  </si>
  <si>
    <t>CPOS 440105</t>
  </si>
  <si>
    <t>CPOS 442064</t>
  </si>
  <si>
    <t>CPOS 440372</t>
  </si>
  <si>
    <t>CPOS 440347</t>
  </si>
  <si>
    <t>CPOS 442062</t>
  </si>
  <si>
    <t>CPOS 440134</t>
  </si>
  <si>
    <t>CPOS 360707</t>
  </si>
  <si>
    <t>CPOS 370102</t>
  </si>
  <si>
    <t>CPOS 390205</t>
  </si>
  <si>
    <t>CPOS 381903</t>
  </si>
  <si>
    <t>CPOS 371363</t>
  </si>
  <si>
    <t>CPOS 390216</t>
  </si>
  <si>
    <t>CPOS 391109</t>
  </si>
  <si>
    <t>CPOS 391111</t>
  </si>
  <si>
    <t>CPOS 400102</t>
  </si>
  <si>
    <t>CPOS 400502</t>
  </si>
  <si>
    <t>CPOS 400504</t>
  </si>
  <si>
    <t>CPOS 400506</t>
  </si>
  <si>
    <t>CPOS 400408</t>
  </si>
  <si>
    <t>CPOS 170212</t>
  </si>
  <si>
    <t>CPOS 170214</t>
  </si>
  <si>
    <t>CPOS 181104</t>
  </si>
  <si>
    <t>CPOS 181123</t>
  </si>
  <si>
    <t>CPOS 170104</t>
  </si>
  <si>
    <t>CPOS 190106</t>
  </si>
  <si>
    <t>CPOS 331005</t>
  </si>
  <si>
    <t>CPOS 331002</t>
  </si>
  <si>
    <t>CPOS 331102</t>
  </si>
  <si>
    <t>CPOS 440305</t>
  </si>
  <si>
    <t>CPOS 440318</t>
  </si>
  <si>
    <t>CPOS 440313</t>
  </si>
  <si>
    <t>CPOS 442028</t>
  </si>
  <si>
    <t>CPOS 500524</t>
  </si>
  <si>
    <t>CPOS 550102</t>
  </si>
  <si>
    <t>CPOS 340416</t>
  </si>
  <si>
    <t>Esmalte em gradil metálico, inclusive preparo</t>
  </si>
  <si>
    <t>Alvenaria de elevação com bloco cerâmico de vedação, uso revestido, e=14 cm, 2,5 Mpa - muro</t>
  </si>
  <si>
    <t>Engenheira Civil</t>
  </si>
  <si>
    <t>CPOS 140421</t>
  </si>
  <si>
    <t>Caixa sifonada de PVC rígido de 100 x 100 x 50 mm, com grelha</t>
  </si>
  <si>
    <t>Bacia sifonada de louça sem tampa, para pessoas com mobilidade reduzida - 6 litros</t>
  </si>
  <si>
    <t>Cuba de louça de embutir oval</t>
  </si>
  <si>
    <t>Quadro de distribuição universal de embutir, para disjuntores 16 DIN / 12 Bolt-on - 150 A - sem componentes</t>
  </si>
  <si>
    <t>Caixa de ferro estâmpada octogonal fundo móvel 4´ x 4´</t>
  </si>
  <si>
    <t>Tomada 2P+T de 20 A - 250 V, completa</t>
  </si>
  <si>
    <t>Luminária de sobrepor ou pendente em calha fechada para 2 lâmpadas fluorescentes de 32/40W</t>
  </si>
  <si>
    <t>Reator eletrônico de alto fator de potência com partida instantânea, para uma lâmpada fluorescente tubular, base bipino bilateral, 32 W - 127 V / 220 V</t>
  </si>
  <si>
    <t>Lâmpada fluorescente tubular, base bipino bilateral de 32 W</t>
  </si>
  <si>
    <t>Porta macho e fêmea com batente de madeira - 92 x 210 cm</t>
  </si>
  <si>
    <t>Corrimão tubular em aço galvanizado, diâmetro 1 1/2´</t>
  </si>
  <si>
    <t>Ferragem completa com maçaneta tipo alavanca para porta interna com 1 folha</t>
  </si>
  <si>
    <t>Tampo/bancada em granito amêndoa, espessura de 2 cm</t>
  </si>
  <si>
    <t>Plantio de grama esmeralda em placas (jardins e canteiros)</t>
  </si>
  <si>
    <t>Fechamento e divisória em placas de gesso acartonado, resistência ao fogo 30 minutos, espessura total de 7,3 cm, com miolo em lã de rocha</t>
  </si>
  <si>
    <t>Cimentado desempenado</t>
  </si>
  <si>
    <t>Pintura de extintor de gás carbônico, pó químico seco, ou água pressurizada, com capacidade até 12 kg</t>
  </si>
  <si>
    <t>Placa de identificação para obra</t>
  </si>
  <si>
    <t>Manutenção de placa padronizada de identificação visual de programas e empreendimentos do governo do Estado de São Paulo</t>
  </si>
  <si>
    <t>m²/mês</t>
  </si>
  <si>
    <t>CPOS 340210</t>
  </si>
  <si>
    <t>CPOS 440221</t>
  </si>
  <si>
    <t>CPOS 170302</t>
  </si>
  <si>
    <t>CPOS 240331</t>
  </si>
  <si>
    <t>CPOS 280104</t>
  </si>
  <si>
    <t>CPOS 230205</t>
  </si>
  <si>
    <t>CPOS 410707</t>
  </si>
  <si>
    <t>CPOS 410963</t>
  </si>
  <si>
    <t>CPOS 411409</t>
  </si>
  <si>
    <t>CPOS 400446</t>
  </si>
  <si>
    <t>CPOS 400108</t>
  </si>
  <si>
    <t>CPOS 370320</t>
  </si>
  <si>
    <t>CPOS 440127</t>
  </si>
  <si>
    <t>CPOS 300103</t>
  </si>
  <si>
    <t>CPOS 300802</t>
  </si>
  <si>
    <t>CPOS 300801</t>
  </si>
  <si>
    <t>CPOS 490108</t>
  </si>
  <si>
    <t>CPOS 143027</t>
  </si>
  <si>
    <t>CPOS 020803</t>
  </si>
  <si>
    <t>Locação para muros, cercas e alambrados</t>
  </si>
  <si>
    <t>CPOS 140420</t>
  </si>
  <si>
    <t>Alvenaria de elevação com bloco cerâmico de vedação, uso revestido, e=9 cm, 2,5 Mpa</t>
  </si>
  <si>
    <t>Telhamento em cimento reforçado com fio sintético CRFS - perfil ondulado de 6 mm</t>
  </si>
  <si>
    <t>Cumeeira universal em cimento reforçado com fio sintético CRFS - perfil ondulado</t>
  </si>
  <si>
    <t>Impermeabilização em argamassa polimérica para umidade e água de percolação</t>
  </si>
  <si>
    <t>Impermeabilização em manta asfáltica com armadura, tipo III-B, espessura de 3 mm</t>
  </si>
  <si>
    <t>Calha, rufo, afins em chapa galvanizada nº 26 - corte 0,33 m</t>
  </si>
  <si>
    <t>Torneira curta com rosca para uso geral, em latão fundido sem acabamento, DN= 3/4´</t>
  </si>
  <si>
    <t>Caixa de medição externa tipo ´M´ (900 x 1200 x 270) mm, padrão Eletropaulo</t>
  </si>
  <si>
    <t>Luminária blindada, arandela 45º e 90º, para lâmpada fluorescente compacta e incandescente de 100W</t>
  </si>
  <si>
    <t>Luminária de embutir redonda para 2 lâmpadas fluorescentes compactas de 18/26W</t>
  </si>
  <si>
    <t>Lâmpada fluorescente compacta ´2U´, base G-24D-3 de 26 W</t>
  </si>
  <si>
    <t>Reator eletromagnético de baixo fator de potência com partida convencional, para uma lâmpada fluorescente compacta ´2U´, base G24D 3, 26 W - 220 V</t>
  </si>
  <si>
    <t>Vidro temperado incolor de 8 mm</t>
  </si>
  <si>
    <t>Vidro temperado incolor de 10 mm</t>
  </si>
  <si>
    <t>Espelho comum de 3 mm com moldura em alumínio</t>
  </si>
  <si>
    <t>Ferragem completa para porta de box de WC tipo livre/ocupado</t>
  </si>
  <si>
    <t>Suporte duplo para vidro temperado fixado em alvenaria</t>
  </si>
  <si>
    <t>Forma plana em compensado para estrutura aparente</t>
  </si>
  <si>
    <t>Divisória em placas de granito com espessura de 3 cm</t>
  </si>
  <si>
    <t>ESQUADRIAS E ELEMENTOS EM ALUMÍNIO E FERRO</t>
  </si>
  <si>
    <t>Porta veneziana de abrir em alumínio, sob medida</t>
  </si>
  <si>
    <t>Extintor manual de pó químico seco ABC - capacidade de 6 kg</t>
  </si>
  <si>
    <t>Extintor manual de água pressurizada - capacidade de 10 litros</t>
  </si>
  <si>
    <t>Projeto de prevenção e combate a incêndio</t>
  </si>
  <si>
    <t>Adesivo vinílico, padrão regulamentado, para sinalização de incêndio</t>
  </si>
  <si>
    <t>José Rossetto</t>
  </si>
  <si>
    <t>ALAMBRADO E PORTÕES</t>
  </si>
  <si>
    <t>Piso cerâmico esmaltado PEI-4 resistência química A, para áreas internas sujeitas à lavagem frequente, assentado com argamassa colante industrializada</t>
  </si>
  <si>
    <t>Rodapé cerâmico esmaltado PEI-4 resistência química A, para áreas internas sujeitas à lavagem frequente, assentado com argamassa colante industrializada</t>
  </si>
  <si>
    <t>Peitoris em granito e=2cm e largura até 20 cm</t>
  </si>
  <si>
    <t>Soleiras de 20 cm em granito e=2cm</t>
  </si>
  <si>
    <t>CPOS 502017</t>
  </si>
  <si>
    <t>Limpeza mecanizada do terreno, inclusive troncos até 15 cm de diâmetro, com caminhão à disposição, dentro e fora da obra, com transporte no raio de até 1,0 km</t>
  </si>
  <si>
    <t>CPOS 020904</t>
  </si>
  <si>
    <t>CPOS 143001</t>
  </si>
  <si>
    <t>Bloco autônomo de iluminação de emergência com autonomia mínima de 1 hora, equipado com 2 lâmpadas de 11 W</t>
  </si>
  <si>
    <t>Concreto usinado, fck = 20,0 MPa</t>
  </si>
  <si>
    <t>CPOS 110110</t>
  </si>
  <si>
    <t>Laje pré-fabricada mista vigota treliçada/lajota E=16cm</t>
  </si>
  <si>
    <t>CPOS 090204</t>
  </si>
  <si>
    <t>3.8</t>
  </si>
  <si>
    <t>3.9</t>
  </si>
  <si>
    <t>Rufo pré-moldado em concreto, de 14 x 50 x 18,5 cm</t>
  </si>
  <si>
    <t>Caixa coletora em concreto armado 60X60X60 cm</t>
  </si>
  <si>
    <t>Valor Total +BDI 15%</t>
  </si>
  <si>
    <t>CPOS 970101</t>
  </si>
  <si>
    <t>CPOS 500526</t>
  </si>
  <si>
    <t>CPOS 501010</t>
  </si>
  <si>
    <t>CPOS 501012</t>
  </si>
  <si>
    <t>CPOS 180604</t>
  </si>
  <si>
    <t>CPOS 180602</t>
  </si>
  <si>
    <t>CPOS 260403</t>
  </si>
  <si>
    <t>CPOS 280107</t>
  </si>
  <si>
    <t>CPOS 250211</t>
  </si>
  <si>
    <t>CPOS 282036</t>
  </si>
  <si>
    <t>CPOS 260206</t>
  </si>
  <si>
    <t>CPOS 260204</t>
  </si>
  <si>
    <t>CPOS 411431</t>
  </si>
  <si>
    <t>CPOS 411318</t>
  </si>
  <si>
    <t>CPOS 410935</t>
  </si>
  <si>
    <t>CPOS 410782</t>
  </si>
  <si>
    <t>CPOS 360306</t>
  </si>
  <si>
    <t>CPOS 440338</t>
  </si>
  <si>
    <t>CPOS 163308</t>
  </si>
  <si>
    <t>CPOS 163340</t>
  </si>
  <si>
    <t>CPOS 321503</t>
  </si>
  <si>
    <t>CPOS 321703</t>
  </si>
  <si>
    <t>CPOS 160301</t>
  </si>
  <si>
    <t>CPOS 160331</t>
  </si>
  <si>
    <t>CPOS 340527</t>
  </si>
  <si>
    <t>Alambrado em tela aço galvanizado de 2", montantes metálicos retos</t>
  </si>
  <si>
    <t>CPOS 340532</t>
  </si>
  <si>
    <t>Portão de ferro perfilado, tipo parque</t>
  </si>
  <si>
    <t xml:space="preserve">                         PREFEITURA MUNICIPAL DE CERQUEIRA CÉSAR</t>
  </si>
  <si>
    <t xml:space="preserve">                     Departamento de Engenharia</t>
  </si>
  <si>
    <r>
      <t xml:space="preserve">Local: </t>
    </r>
    <r>
      <rPr>
        <sz val="10"/>
        <rFont val="Arial"/>
        <family val="2"/>
      </rPr>
      <t>Rua 31, s/ n° - Parque Nove de Julho</t>
    </r>
  </si>
  <si>
    <r>
      <rPr>
        <b/>
        <sz val="10"/>
        <rFont val="Arial"/>
        <family val="2"/>
      </rPr>
      <t>Proponente</t>
    </r>
    <r>
      <rPr>
        <sz val="10"/>
        <rFont val="Arial"/>
        <family val="0"/>
      </rPr>
      <t>: Prefeitura Municipal de Cerqueira César</t>
    </r>
  </si>
  <si>
    <r>
      <rPr>
        <b/>
        <sz val="10"/>
        <rFont val="Arial"/>
        <family val="2"/>
      </rPr>
      <t>Município:</t>
    </r>
    <r>
      <rPr>
        <sz val="10"/>
        <rFont val="Arial"/>
        <family val="2"/>
      </rPr>
      <t xml:space="preserve"> Cerqueira César</t>
    </r>
  </si>
  <si>
    <r>
      <t>Áreas:</t>
    </r>
    <r>
      <rPr>
        <sz val="10"/>
        <rFont val="Arial"/>
        <family val="2"/>
      </rPr>
      <t xml:space="preserve"> de construção nova = 141,33 m²</t>
    </r>
  </si>
  <si>
    <t xml:space="preserve">Data Base: </t>
  </si>
  <si>
    <t>1.3</t>
  </si>
  <si>
    <t>1.4</t>
  </si>
  <si>
    <t>1.7</t>
  </si>
  <si>
    <t>1.8</t>
  </si>
  <si>
    <t>2.4</t>
  </si>
  <si>
    <t>3.4</t>
  </si>
  <si>
    <t>3.10</t>
  </si>
  <si>
    <t>3.11</t>
  </si>
  <si>
    <t>4.4</t>
  </si>
  <si>
    <t>4.5</t>
  </si>
  <si>
    <t>4.6</t>
  </si>
  <si>
    <t>4.7</t>
  </si>
  <si>
    <t>4.8</t>
  </si>
  <si>
    <t>5.2</t>
  </si>
  <si>
    <t>5.5</t>
  </si>
  <si>
    <t>6.6</t>
  </si>
  <si>
    <t>6.7</t>
  </si>
  <si>
    <t>8.4</t>
  </si>
  <si>
    <t>8.10</t>
  </si>
  <si>
    <t>8.19</t>
  </si>
  <si>
    <t>8.22</t>
  </si>
  <si>
    <t>8.23</t>
  </si>
  <si>
    <t>8.24</t>
  </si>
  <si>
    <t>8.25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</si>
  <si>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</si>
  <si>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</si>
  <si>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</si>
  <si>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</si>
  <si>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</si>
  <si>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</si>
  <si>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</si>
  <si>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</si>
  <si>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</si>
  <si>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</si>
  <si>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</si>
  <si>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</si>
  <si>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</si>
  <si>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</si>
  <si>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</si>
  <si>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</si>
  <si>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</si>
  <si>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</si>
  <si>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</si>
  <si>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</si>
  <si>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</si>
  <si>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</si>
  <si>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</si>
  <si>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</si>
  <si>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11.6</t>
  </si>
  <si>
    <t>11.7</t>
  </si>
  <si>
    <t>12.3</t>
  </si>
  <si>
    <t>13.4</t>
  </si>
  <si>
    <t>13.5</t>
  </si>
  <si>
    <t>14.3</t>
  </si>
  <si>
    <t>15.1</t>
  </si>
  <si>
    <t>15.2</t>
  </si>
  <si>
    <t>16.2</t>
  </si>
  <si>
    <t>16.3</t>
  </si>
  <si>
    <t>16.4</t>
  </si>
  <si>
    <t>16.5</t>
  </si>
  <si>
    <t>16.6</t>
  </si>
  <si>
    <t>16.7</t>
  </si>
  <si>
    <t>16.8</t>
  </si>
  <si>
    <t>18.1</t>
  </si>
  <si>
    <t>18.2</t>
  </si>
  <si>
    <t>4° MÊS</t>
  </si>
  <si>
    <t>5° MÊS</t>
  </si>
  <si>
    <t>6° MÊS</t>
  </si>
  <si>
    <t>Forração com Lírio Amarelo, mínimo 18 mudas / m² - h= 0,50 m</t>
  </si>
  <si>
    <t>CPOS 340207</t>
  </si>
  <si>
    <t>18.3</t>
  </si>
  <si>
    <t>Total</t>
  </si>
  <si>
    <t>%</t>
  </si>
  <si>
    <t>7° MÊS</t>
  </si>
  <si>
    <t>8° MÊS</t>
  </si>
  <si>
    <t>CPOS 130104</t>
  </si>
  <si>
    <t>Estrutura pontaletada para telhas onduladas</t>
  </si>
  <si>
    <t>CPOS 150122</t>
  </si>
  <si>
    <t>16.9</t>
  </si>
  <si>
    <t>Código CPOS 159</t>
  </si>
  <si>
    <t>CPOS 020802</t>
  </si>
  <si>
    <t>CPOS 21005</t>
  </si>
  <si>
    <t>Bebedouro elétrico de pressão em aço inoxidável, capacidade de refrigeração de 06 l/h</t>
  </si>
  <si>
    <t>CPOS 300303</t>
  </si>
  <si>
    <t>Cuba em aço inoxidável simples de 560x330x140mm</t>
  </si>
  <si>
    <t>CPOS 440632</t>
  </si>
  <si>
    <t>Hugo Vieira dos Santos</t>
  </si>
  <si>
    <t>CREA SP 5069465540</t>
  </si>
  <si>
    <t>Cerqueira César, 13 de outubro de 2015.</t>
  </si>
  <si>
    <r>
      <t>Assunto/Título</t>
    </r>
    <r>
      <rPr>
        <sz val="10"/>
        <rFont val="Arial"/>
        <family val="2"/>
      </rPr>
      <t>: Construção de prédio para o Centro de Convivência da Criança e do Adolescente</t>
    </r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</si>
</sst>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#,##0.00000_);\(#,##0.00000\)"/>
    <numFmt numFmtId="166" formatCode="0.0%"/>
  </numFmts>
  <fonts count="3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sz val="10"/>
      <color indexed="56"/>
      <name val="Verdana"/>
      <family val="2"/>
    </font>
    <font>
      <b/>
      <sz val="16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164" fontId="0" fillId="0" borderId="0" xfId="0" applyNumberFormat="1" applyBorder="1" applyAlignment="1">
      <alignment/>
    </xf>
    <xf numFmtId="164" fontId="8" fillId="24" borderId="1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44" fontId="1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4" fontId="1" fillId="0" borderId="21" xfId="0" applyNumberFormat="1" applyFont="1" applyBorder="1" applyAlignment="1">
      <alignment vertical="top" wrapText="1"/>
    </xf>
    <xf numFmtId="44" fontId="1" fillId="0" borderId="22" xfId="0" applyNumberFormat="1" applyFont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 wrapText="1"/>
    </xf>
    <xf numFmtId="44" fontId="1" fillId="0" borderId="23" xfId="0" applyNumberFormat="1" applyFont="1" applyBorder="1" applyAlignment="1">
      <alignment vertical="top" wrapText="1"/>
    </xf>
    <xf numFmtId="44" fontId="1" fillId="0" borderId="0" xfId="0" applyNumberFormat="1" applyFont="1" applyBorder="1" applyAlignment="1">
      <alignment vertical="top" wrapText="1"/>
    </xf>
    <xf numFmtId="164" fontId="3" fillId="0" borderId="24" xfId="0" applyNumberFormat="1" applyFont="1" applyFill="1" applyBorder="1" applyAlignment="1">
      <alignment/>
    </xf>
    <xf numFmtId="44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10" fontId="1" fillId="0" borderId="27" xfId="51" applyNumberFormat="1" applyFont="1" applyBorder="1" applyAlignment="1">
      <alignment vertical="top" wrapText="1"/>
    </xf>
    <xf numFmtId="10" fontId="3" fillId="0" borderId="28" xfId="0" applyNumberFormat="1" applyFont="1" applyBorder="1" applyAlignment="1">
      <alignment/>
    </xf>
    <xf numFmtId="0" fontId="3" fillId="0" borderId="26" xfId="0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0" fontId="3" fillId="0" borderId="35" xfId="0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/>
    </xf>
    <xf numFmtId="0" fontId="1" fillId="0" borderId="37" xfId="0" applyFont="1" applyBorder="1" applyAlignment="1">
      <alignment vertical="top" wrapText="1"/>
    </xf>
    <xf numFmtId="164" fontId="1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4" fontId="1" fillId="0" borderId="42" xfId="0" applyNumberFormat="1" applyFont="1" applyBorder="1" applyAlignment="1">
      <alignment vertical="center" wrapText="1"/>
    </xf>
    <xf numFmtId="44" fontId="1" fillId="0" borderId="43" xfId="0" applyNumberFormat="1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44" fontId="1" fillId="0" borderId="44" xfId="0" applyNumberFormat="1" applyFont="1" applyBorder="1" applyAlignment="1">
      <alignment vertical="center" wrapText="1"/>
    </xf>
    <xf numFmtId="44" fontId="1" fillId="0" borderId="45" xfId="0" applyNumberFormat="1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right" vertical="center" wrapText="1"/>
    </xf>
    <xf numFmtId="44" fontId="1" fillId="0" borderId="50" xfId="0" applyNumberFormat="1" applyFont="1" applyBorder="1" applyAlignment="1">
      <alignment vertical="center" wrapText="1"/>
    </xf>
    <xf numFmtId="44" fontId="1" fillId="0" borderId="51" xfId="0" applyNumberFormat="1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53" xfId="0" applyFont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44" fontId="1" fillId="0" borderId="46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2" xfId="0" applyFont="1" applyFill="1" applyBorder="1" applyAlignment="1">
      <alignment vertical="center" wrapText="1"/>
    </xf>
    <xf numFmtId="44" fontId="1" fillId="0" borderId="42" xfId="0" applyNumberFormat="1" applyFont="1" applyFill="1" applyBorder="1" applyAlignment="1">
      <alignment vertical="center" wrapText="1"/>
    </xf>
    <xf numFmtId="44" fontId="1" fillId="0" borderId="43" xfId="0" applyNumberFormat="1" applyFont="1" applyFill="1" applyBorder="1" applyAlignment="1">
      <alignment vertical="center" wrapText="1"/>
    </xf>
    <xf numFmtId="44" fontId="1" fillId="0" borderId="44" xfId="0" applyNumberFormat="1" applyFont="1" applyFill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3" fillId="0" borderId="36" xfId="0" applyFont="1" applyBorder="1" applyAlignment="1">
      <alignment horizontal="right" vertical="center" wrapText="1"/>
    </xf>
    <xf numFmtId="44" fontId="1" fillId="0" borderId="36" xfId="0" applyNumberFormat="1" applyFont="1" applyBorder="1" applyAlignment="1">
      <alignment vertical="center" wrapText="1"/>
    </xf>
    <xf numFmtId="44" fontId="3" fillId="16" borderId="4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1"/>
  <sheetViews>
    <sheetView tabSelected="1" zoomScale="115" zoomScaleNormal="115" zoomScalePageLayoutView="0" workbookViewId="0" topLeftCell="A1">
      <selection activeCell="B6" sqref="B6:D6"/>
    </sheetView>
  </sheetViews>
  <sheetFormatPr defaultColWidth="9.140625" defaultRowHeight="12.75"/>
  <cols>
    <col min="1" max="1" width="3.7109375" style="62" customWidth="1"/>
    <col min="2" max="2" width="4.8515625" style="118" customWidth="1"/>
    <col min="3" max="3" width="10.7109375" style="61" customWidth="1"/>
    <col min="4" max="4" width="35.7109375" style="62" customWidth="1"/>
    <col min="5" max="5" width="6.28125" style="117" customWidth="1"/>
    <col min="6" max="6" width="5.8515625" style="118" customWidth="1"/>
    <col min="7" max="7" width="10.140625" style="62" bestFit="1" customWidth="1"/>
    <col min="8" max="8" width="11.8515625" style="62" customWidth="1"/>
    <col min="9" max="9" width="12.57421875" style="62" customWidth="1"/>
    <col min="10" max="10" width="3.7109375" style="62" customWidth="1"/>
    <col min="11" max="16384" width="9.140625" style="62" customWidth="1"/>
  </cols>
  <sheetData>
    <row r="1" spans="3:13" ht="20.25">
      <c r="C1" s="118"/>
      <c r="E1" s="116"/>
      <c r="F1" s="116"/>
      <c r="G1" s="63"/>
      <c r="H1" s="63"/>
      <c r="I1" s="63"/>
      <c r="J1" s="64"/>
      <c r="K1" s="64"/>
      <c r="L1" s="64"/>
      <c r="M1" s="64"/>
    </row>
    <row r="2" spans="2:13" ht="20.25">
      <c r="B2" s="152" t="s">
        <v>363</v>
      </c>
      <c r="C2" s="152"/>
      <c r="D2" s="152"/>
      <c r="E2" s="152"/>
      <c r="F2" s="152"/>
      <c r="G2" s="152"/>
      <c r="H2" s="152"/>
      <c r="I2" s="152"/>
      <c r="J2" s="65"/>
      <c r="K2" s="65"/>
      <c r="L2" s="65"/>
      <c r="M2" s="65"/>
    </row>
    <row r="3" spans="2:13" ht="20.25">
      <c r="B3" s="153" t="s">
        <v>364</v>
      </c>
      <c r="C3" s="153"/>
      <c r="D3" s="153"/>
      <c r="E3" s="153"/>
      <c r="F3" s="153"/>
      <c r="G3" s="153"/>
      <c r="H3" s="153"/>
      <c r="I3" s="153"/>
      <c r="J3" s="66"/>
      <c r="K3" s="66"/>
      <c r="L3" s="67"/>
      <c r="M3" s="66"/>
    </row>
    <row r="4" spans="2:13" ht="15.75">
      <c r="B4" s="155" t="s">
        <v>366</v>
      </c>
      <c r="C4" s="155"/>
      <c r="D4" s="155"/>
      <c r="E4" s="155"/>
      <c r="F4" s="155"/>
      <c r="G4" s="155"/>
      <c r="H4" s="155"/>
      <c r="I4" s="155"/>
      <c r="J4" s="68"/>
      <c r="K4" s="68"/>
      <c r="L4" s="68"/>
      <c r="M4" s="68"/>
    </row>
    <row r="5" spans="2:13" ht="12.75">
      <c r="B5" s="154" t="s">
        <v>459</v>
      </c>
      <c r="C5" s="154"/>
      <c r="D5" s="154"/>
      <c r="E5" s="154"/>
      <c r="F5" s="154"/>
      <c r="G5" s="154"/>
      <c r="H5" s="154"/>
      <c r="I5" s="154"/>
      <c r="J5" s="66"/>
      <c r="K5" s="66"/>
      <c r="L5" s="67"/>
      <c r="M5" s="66"/>
    </row>
    <row r="6" spans="2:9" ht="12.75">
      <c r="B6" s="154" t="s">
        <v>365</v>
      </c>
      <c r="C6" s="154"/>
      <c r="D6" s="154"/>
      <c r="E6" s="160" t="s">
        <v>367</v>
      </c>
      <c r="F6" s="160"/>
      <c r="G6" s="160"/>
      <c r="H6" s="160"/>
      <c r="I6" s="160"/>
    </row>
    <row r="7" spans="2:9" ht="12.75">
      <c r="B7" s="154" t="s">
        <v>368</v>
      </c>
      <c r="C7" s="154"/>
      <c r="D7" s="154"/>
      <c r="E7" s="154"/>
      <c r="F7" s="154"/>
      <c r="G7" s="154"/>
      <c r="H7" s="154"/>
      <c r="I7" s="154"/>
    </row>
    <row r="8" spans="2:8" ht="12.75">
      <c r="B8" s="145"/>
      <c r="C8" s="131"/>
      <c r="D8" s="69"/>
      <c r="E8" s="119" t="s">
        <v>369</v>
      </c>
      <c r="F8" s="67"/>
      <c r="G8" s="70">
        <v>42192</v>
      </c>
      <c r="H8" s="69"/>
    </row>
    <row r="9" spans="2:9" ht="12.75">
      <c r="B9" s="154" t="s">
        <v>174</v>
      </c>
      <c r="C9" s="154"/>
      <c r="D9" s="154"/>
      <c r="E9" s="154"/>
      <c r="F9" s="154"/>
      <c r="G9" s="154"/>
      <c r="H9" s="154"/>
      <c r="I9" s="154"/>
    </row>
    <row r="10" ht="13.5" thickBot="1"/>
    <row r="11" spans="2:9" ht="23.25" thickBot="1">
      <c r="B11" s="71" t="s">
        <v>0</v>
      </c>
      <c r="C11" s="72" t="s">
        <v>449</v>
      </c>
      <c r="D11" s="72" t="s">
        <v>1</v>
      </c>
      <c r="E11" s="72" t="s">
        <v>2</v>
      </c>
      <c r="F11" s="73" t="s">
        <v>3</v>
      </c>
      <c r="G11" s="72" t="s">
        <v>4</v>
      </c>
      <c r="H11" s="72" t="s">
        <v>5</v>
      </c>
      <c r="I11" s="74" t="s">
        <v>334</v>
      </c>
    </row>
    <row r="12" spans="2:9" ht="12.75">
      <c r="B12" s="75">
        <v>1</v>
      </c>
      <c r="C12" s="132"/>
      <c r="D12" s="76" t="s">
        <v>84</v>
      </c>
      <c r="E12" s="120"/>
      <c r="F12" s="121"/>
      <c r="G12" s="80"/>
      <c r="H12" s="80"/>
      <c r="I12" s="81"/>
    </row>
    <row r="13" spans="2:9" ht="12.75">
      <c r="B13" s="146" t="s">
        <v>112</v>
      </c>
      <c r="C13" s="133" t="s">
        <v>175</v>
      </c>
      <c r="D13" s="82" t="s">
        <v>94</v>
      </c>
      <c r="E13" s="122">
        <v>141.33</v>
      </c>
      <c r="F13" s="123" t="s">
        <v>52</v>
      </c>
      <c r="G13" s="83">
        <v>5</v>
      </c>
      <c r="H13" s="83">
        <f aca="true" t="shared" si="0" ref="H13:H20">TRUNC(E13*G13,2)</f>
        <v>706.65</v>
      </c>
      <c r="I13" s="84">
        <f>H13*1.15</f>
        <v>812.6474999999999</v>
      </c>
    </row>
    <row r="14" spans="2:9" ht="12.75">
      <c r="B14" s="146" t="s">
        <v>113</v>
      </c>
      <c r="C14" s="134" t="s">
        <v>175</v>
      </c>
      <c r="D14" s="85" t="s">
        <v>313</v>
      </c>
      <c r="E14" s="122">
        <v>141.33</v>
      </c>
      <c r="F14" s="123" t="s">
        <v>52</v>
      </c>
      <c r="G14" s="83">
        <v>2</v>
      </c>
      <c r="H14" s="83">
        <f>TRUNC(E14*G14,2)</f>
        <v>282.66</v>
      </c>
      <c r="I14" s="84">
        <f aca="true" t="shared" si="1" ref="I14:I20">H14*1.15</f>
        <v>325.059</v>
      </c>
    </row>
    <row r="15" spans="2:9" ht="12.75">
      <c r="B15" s="146" t="s">
        <v>370</v>
      </c>
      <c r="C15" s="123" t="s">
        <v>450</v>
      </c>
      <c r="D15" s="82" t="s">
        <v>266</v>
      </c>
      <c r="E15" s="122">
        <v>6</v>
      </c>
      <c r="F15" s="123" t="s">
        <v>52</v>
      </c>
      <c r="G15" s="83">
        <v>361.56</v>
      </c>
      <c r="H15" s="83">
        <f>E15*G15</f>
        <v>2169.36</v>
      </c>
      <c r="I15" s="84">
        <f t="shared" si="1"/>
        <v>2494.764</v>
      </c>
    </row>
    <row r="16" spans="2:9" ht="45">
      <c r="B16" s="146" t="s">
        <v>371</v>
      </c>
      <c r="C16" s="123" t="s">
        <v>287</v>
      </c>
      <c r="D16" s="82" t="s">
        <v>267</v>
      </c>
      <c r="E16" s="122">
        <f>E15*8</f>
        <v>48</v>
      </c>
      <c r="F16" s="123" t="s">
        <v>268</v>
      </c>
      <c r="G16" s="83">
        <v>7.77</v>
      </c>
      <c r="H16" s="83">
        <f>TRUNC(E16*G16,2)</f>
        <v>372.96</v>
      </c>
      <c r="I16" s="84">
        <f t="shared" si="1"/>
        <v>428.90399999999994</v>
      </c>
    </row>
    <row r="17" spans="2:9" ht="45">
      <c r="B17" s="146" t="s">
        <v>114</v>
      </c>
      <c r="C17" s="135" t="s">
        <v>323</v>
      </c>
      <c r="D17" s="86" t="s">
        <v>322</v>
      </c>
      <c r="E17" s="122">
        <v>345.12</v>
      </c>
      <c r="F17" s="123" t="s">
        <v>52</v>
      </c>
      <c r="G17" s="83">
        <v>2.13</v>
      </c>
      <c r="H17" s="83">
        <f t="shared" si="0"/>
        <v>735.1</v>
      </c>
      <c r="I17" s="84">
        <f t="shared" si="1"/>
        <v>845.365</v>
      </c>
    </row>
    <row r="18" spans="2:9" ht="22.5">
      <c r="B18" s="146" t="s">
        <v>115</v>
      </c>
      <c r="C18" s="133" t="s">
        <v>181</v>
      </c>
      <c r="D18" s="82" t="s">
        <v>95</v>
      </c>
      <c r="E18" s="122">
        <v>9</v>
      </c>
      <c r="F18" s="123" t="s">
        <v>52</v>
      </c>
      <c r="G18" s="83">
        <v>242.71</v>
      </c>
      <c r="H18" s="83">
        <f t="shared" si="0"/>
        <v>2184.39</v>
      </c>
      <c r="I18" s="84">
        <f t="shared" si="1"/>
        <v>2512.0485</v>
      </c>
    </row>
    <row r="19" spans="2:9" ht="12.75">
      <c r="B19" s="146" t="s">
        <v>372</v>
      </c>
      <c r="C19" s="135" t="s">
        <v>451</v>
      </c>
      <c r="D19" s="86" t="s">
        <v>288</v>
      </c>
      <c r="E19" s="122">
        <v>75.23</v>
      </c>
      <c r="F19" s="123" t="s">
        <v>33</v>
      </c>
      <c r="G19" s="83">
        <v>0.79</v>
      </c>
      <c r="H19" s="83">
        <f>TRUNC(E19*G19,2)</f>
        <v>59.43</v>
      </c>
      <c r="I19" s="84">
        <f t="shared" si="1"/>
        <v>68.3445</v>
      </c>
    </row>
    <row r="20" spans="2:9" ht="12.75">
      <c r="B20" s="146" t="s">
        <v>373</v>
      </c>
      <c r="C20" s="136" t="s">
        <v>182</v>
      </c>
      <c r="D20" s="87" t="s">
        <v>85</v>
      </c>
      <c r="E20" s="122">
        <v>141.33</v>
      </c>
      <c r="F20" s="123" t="s">
        <v>52</v>
      </c>
      <c r="G20" s="83">
        <v>7.52</v>
      </c>
      <c r="H20" s="83">
        <f t="shared" si="0"/>
        <v>1062.8</v>
      </c>
      <c r="I20" s="84">
        <f t="shared" si="1"/>
        <v>1222.2199999999998</v>
      </c>
    </row>
    <row r="21" spans="2:9" ht="13.5" thickBot="1">
      <c r="B21" s="88"/>
      <c r="C21" s="137"/>
      <c r="D21" s="89" t="s">
        <v>6</v>
      </c>
      <c r="E21" s="124"/>
      <c r="F21" s="125"/>
      <c r="G21" s="90"/>
      <c r="H21" s="90">
        <f>SUM(H13:H20)</f>
        <v>7573.350000000001</v>
      </c>
      <c r="I21" s="91">
        <f>SUM(I13:I20)</f>
        <v>8709.3525</v>
      </c>
    </row>
    <row r="22" spans="2:9" ht="12.75">
      <c r="B22" s="75">
        <v>2</v>
      </c>
      <c r="C22" s="132"/>
      <c r="D22" s="76" t="s">
        <v>316</v>
      </c>
      <c r="E22" s="120"/>
      <c r="F22" s="121"/>
      <c r="G22" s="80"/>
      <c r="H22" s="80"/>
      <c r="I22" s="81"/>
    </row>
    <row r="23" spans="2:9" ht="12.75">
      <c r="B23" s="92" t="s">
        <v>7</v>
      </c>
      <c r="C23" s="135" t="s">
        <v>451</v>
      </c>
      <c r="D23" s="86" t="s">
        <v>288</v>
      </c>
      <c r="E23" s="122">
        <v>75.23</v>
      </c>
      <c r="F23" s="123" t="s">
        <v>33</v>
      </c>
      <c r="G23" s="83">
        <v>0.79</v>
      </c>
      <c r="H23" s="83">
        <f aca="true" t="shared" si="2" ref="H23:H32">TRUNC(E23*G23,2)</f>
        <v>59.43</v>
      </c>
      <c r="I23" s="84">
        <f>H23*1.15</f>
        <v>68.3445</v>
      </c>
    </row>
    <row r="24" spans="2:9" ht="22.5">
      <c r="B24" s="92" t="s">
        <v>8</v>
      </c>
      <c r="C24" s="133" t="s">
        <v>183</v>
      </c>
      <c r="D24" s="82" t="s">
        <v>47</v>
      </c>
      <c r="E24" s="122">
        <f>E23*0.2*0.15</f>
        <v>2.2569</v>
      </c>
      <c r="F24" s="123" t="s">
        <v>78</v>
      </c>
      <c r="G24" s="83">
        <v>34.02</v>
      </c>
      <c r="H24" s="83">
        <f t="shared" si="2"/>
        <v>76.77</v>
      </c>
      <c r="I24" s="84">
        <f aca="true" t="shared" si="3" ref="I24:I31">H24*1.15</f>
        <v>88.28549999999998</v>
      </c>
    </row>
    <row r="25" spans="2:9" ht="22.5">
      <c r="B25" s="92" t="s">
        <v>9</v>
      </c>
      <c r="C25" s="133" t="s">
        <v>184</v>
      </c>
      <c r="D25" s="82" t="s">
        <v>50</v>
      </c>
      <c r="E25" s="122">
        <f>E23*0.2*0.05</f>
        <v>0.7523000000000001</v>
      </c>
      <c r="F25" s="123" t="s">
        <v>78</v>
      </c>
      <c r="G25" s="83">
        <v>101.33</v>
      </c>
      <c r="H25" s="83">
        <f t="shared" si="2"/>
        <v>76.23</v>
      </c>
      <c r="I25" s="84">
        <f t="shared" si="3"/>
        <v>87.6645</v>
      </c>
    </row>
    <row r="26" spans="2:9" ht="22.5">
      <c r="B26" s="92" t="s">
        <v>374</v>
      </c>
      <c r="C26" s="133" t="s">
        <v>185</v>
      </c>
      <c r="D26" s="82" t="s">
        <v>48</v>
      </c>
      <c r="E26" s="122">
        <f>38*2.5</f>
        <v>95</v>
      </c>
      <c r="F26" s="123" t="s">
        <v>33</v>
      </c>
      <c r="G26" s="83">
        <v>45.41</v>
      </c>
      <c r="H26" s="83">
        <f t="shared" si="2"/>
        <v>4313.95</v>
      </c>
      <c r="I26" s="84">
        <f t="shared" si="3"/>
        <v>4961.0425</v>
      </c>
    </row>
    <row r="27" spans="2:9" ht="22.5">
      <c r="B27" s="92" t="s">
        <v>10</v>
      </c>
      <c r="C27" s="133" t="s">
        <v>196</v>
      </c>
      <c r="D27" s="82" t="s">
        <v>98</v>
      </c>
      <c r="E27" s="122">
        <f>E23*0.15*0.2</f>
        <v>2.2569</v>
      </c>
      <c r="F27" s="123" t="s">
        <v>78</v>
      </c>
      <c r="G27" s="83">
        <v>964.48</v>
      </c>
      <c r="H27" s="83">
        <f t="shared" si="2"/>
        <v>2176.73</v>
      </c>
      <c r="I27" s="84">
        <f t="shared" si="3"/>
        <v>2503.2394999999997</v>
      </c>
    </row>
    <row r="28" spans="2:9" ht="12.75">
      <c r="B28" s="92" t="s">
        <v>11</v>
      </c>
      <c r="C28" s="133" t="s">
        <v>190</v>
      </c>
      <c r="D28" s="82" t="s">
        <v>24</v>
      </c>
      <c r="E28" s="122">
        <f>75.23*0.35</f>
        <v>26.3305</v>
      </c>
      <c r="F28" s="123" t="s">
        <v>52</v>
      </c>
      <c r="G28" s="83">
        <v>4.11</v>
      </c>
      <c r="H28" s="83">
        <f t="shared" si="2"/>
        <v>108.21</v>
      </c>
      <c r="I28" s="84">
        <f t="shared" si="3"/>
        <v>124.44149999999998</v>
      </c>
    </row>
    <row r="29" spans="2:9" ht="12.75">
      <c r="B29" s="92" t="s">
        <v>12</v>
      </c>
      <c r="C29" s="133" t="s">
        <v>229</v>
      </c>
      <c r="D29" s="82" t="s">
        <v>76</v>
      </c>
      <c r="E29" s="122">
        <f>E28</f>
        <v>26.3305</v>
      </c>
      <c r="F29" s="123" t="s">
        <v>52</v>
      </c>
      <c r="G29" s="83">
        <v>12.22</v>
      </c>
      <c r="H29" s="83">
        <f t="shared" si="2"/>
        <v>321.75</v>
      </c>
      <c r="I29" s="84">
        <f t="shared" si="3"/>
        <v>370.0125</v>
      </c>
    </row>
    <row r="30" spans="2:9" ht="12.75">
      <c r="B30" s="92" t="s">
        <v>13</v>
      </c>
      <c r="C30" s="133" t="s">
        <v>235</v>
      </c>
      <c r="D30" s="82" t="s">
        <v>178</v>
      </c>
      <c r="E30" s="122">
        <f>E29</f>
        <v>26.3305</v>
      </c>
      <c r="F30" s="123" t="s">
        <v>52</v>
      </c>
      <c r="G30" s="83">
        <v>15.71</v>
      </c>
      <c r="H30" s="83">
        <f t="shared" si="2"/>
        <v>413.65</v>
      </c>
      <c r="I30" s="84">
        <f t="shared" si="3"/>
        <v>475.69749999999993</v>
      </c>
    </row>
    <row r="31" spans="2:9" ht="22.5">
      <c r="B31" s="92" t="s">
        <v>14</v>
      </c>
      <c r="C31" s="123" t="s">
        <v>359</v>
      </c>
      <c r="D31" s="82" t="s">
        <v>360</v>
      </c>
      <c r="E31" s="122">
        <f>75.23*1.9</f>
        <v>142.937</v>
      </c>
      <c r="F31" s="123" t="s">
        <v>52</v>
      </c>
      <c r="G31" s="83">
        <v>100.87</v>
      </c>
      <c r="H31" s="83">
        <f t="shared" si="2"/>
        <v>14418.05</v>
      </c>
      <c r="I31" s="84">
        <f t="shared" si="3"/>
        <v>16580.757499999996</v>
      </c>
    </row>
    <row r="32" spans="2:9" ht="12.75">
      <c r="B32" s="92" t="s">
        <v>15</v>
      </c>
      <c r="C32" s="135" t="s">
        <v>361</v>
      </c>
      <c r="D32" s="86" t="s">
        <v>362</v>
      </c>
      <c r="E32" s="122">
        <f>(0.9+2.9)*2</f>
        <v>7.6</v>
      </c>
      <c r="F32" s="123" t="s">
        <v>52</v>
      </c>
      <c r="G32" s="83">
        <v>335.44</v>
      </c>
      <c r="H32" s="83">
        <f t="shared" si="2"/>
        <v>2549.34</v>
      </c>
      <c r="I32" s="84">
        <f>H32*1.15</f>
        <v>2931.741</v>
      </c>
    </row>
    <row r="33" spans="2:9" ht="13.5" thickBot="1">
      <c r="B33" s="88"/>
      <c r="C33" s="137"/>
      <c r="D33" s="89" t="s">
        <v>6</v>
      </c>
      <c r="E33" s="124"/>
      <c r="F33" s="125"/>
      <c r="G33" s="90"/>
      <c r="H33" s="90">
        <f>SUM(H22:H32)</f>
        <v>24514.11</v>
      </c>
      <c r="I33" s="91">
        <f>SUM(I22:I32)</f>
        <v>28191.226499999997</v>
      </c>
    </row>
    <row r="34" spans="2:9" ht="22.5">
      <c r="B34" s="75">
        <v>3</v>
      </c>
      <c r="C34" s="132"/>
      <c r="D34" s="76" t="s">
        <v>86</v>
      </c>
      <c r="E34" s="120"/>
      <c r="F34" s="121"/>
      <c r="G34" s="80"/>
      <c r="H34" s="80"/>
      <c r="I34" s="81"/>
    </row>
    <row r="35" spans="2:9" ht="22.5">
      <c r="B35" s="146" t="s">
        <v>29</v>
      </c>
      <c r="C35" s="133" t="s">
        <v>183</v>
      </c>
      <c r="D35" s="82" t="s">
        <v>47</v>
      </c>
      <c r="E35" s="122">
        <f>14.81*0.5</f>
        <v>7.405</v>
      </c>
      <c r="F35" s="123" t="s">
        <v>78</v>
      </c>
      <c r="G35" s="83">
        <v>34.02</v>
      </c>
      <c r="H35" s="83">
        <f>TRUNC(E35*G35,2)</f>
        <v>251.91</v>
      </c>
      <c r="I35" s="84">
        <f aca="true" t="shared" si="4" ref="I35:I45">H35*1.15</f>
        <v>289.69649999999996</v>
      </c>
    </row>
    <row r="36" spans="2:9" ht="22.5">
      <c r="B36" s="146" t="s">
        <v>30</v>
      </c>
      <c r="C36" s="133" t="s">
        <v>184</v>
      </c>
      <c r="D36" s="82" t="s">
        <v>50</v>
      </c>
      <c r="E36" s="122">
        <f>14.81*0.05</f>
        <v>0.7405</v>
      </c>
      <c r="F36" s="123" t="s">
        <v>78</v>
      </c>
      <c r="G36" s="83">
        <v>101.33</v>
      </c>
      <c r="H36" s="83">
        <f>TRUNC(E36*G36,2)</f>
        <v>75.03</v>
      </c>
      <c r="I36" s="84">
        <f t="shared" si="4"/>
        <v>86.2845</v>
      </c>
    </row>
    <row r="37" spans="2:9" ht="30" customHeight="1">
      <c r="B37" s="146" t="s">
        <v>31</v>
      </c>
      <c r="C37" s="133" t="s">
        <v>185</v>
      </c>
      <c r="D37" s="82" t="s">
        <v>48</v>
      </c>
      <c r="E37" s="122">
        <f>28*3.5</f>
        <v>98</v>
      </c>
      <c r="F37" s="123" t="s">
        <v>33</v>
      </c>
      <c r="G37" s="83">
        <v>45.41</v>
      </c>
      <c r="H37" s="83">
        <f aca="true" t="shared" si="5" ref="H37:H45">TRUNC(E37*G37,2)</f>
        <v>4450.18</v>
      </c>
      <c r="I37" s="84">
        <f t="shared" si="4"/>
        <v>5117.707</v>
      </c>
    </row>
    <row r="38" spans="2:9" ht="12.75">
      <c r="B38" s="146" t="s">
        <v>375</v>
      </c>
      <c r="C38" s="133" t="s">
        <v>186</v>
      </c>
      <c r="D38" s="82" t="s">
        <v>37</v>
      </c>
      <c r="E38" s="122">
        <f>E40*60</f>
        <v>266.58</v>
      </c>
      <c r="F38" s="123" t="s">
        <v>35</v>
      </c>
      <c r="G38" s="83">
        <v>5.19</v>
      </c>
      <c r="H38" s="83">
        <f t="shared" si="5"/>
        <v>1383.55</v>
      </c>
      <c r="I38" s="84">
        <f t="shared" si="4"/>
        <v>1591.0824999999998</v>
      </c>
    </row>
    <row r="39" spans="2:9" ht="12.75">
      <c r="B39" s="146" t="s">
        <v>116</v>
      </c>
      <c r="C39" s="133" t="s">
        <v>187</v>
      </c>
      <c r="D39" s="82" t="s">
        <v>93</v>
      </c>
      <c r="E39" s="122">
        <f>E40*20</f>
        <v>88.85999999999999</v>
      </c>
      <c r="F39" s="123" t="s">
        <v>35</v>
      </c>
      <c r="G39" s="83">
        <v>5.05</v>
      </c>
      <c r="H39" s="83">
        <f t="shared" si="5"/>
        <v>448.74</v>
      </c>
      <c r="I39" s="84">
        <f t="shared" si="4"/>
        <v>516.0509999999999</v>
      </c>
    </row>
    <row r="40" spans="2:9" ht="12.75">
      <c r="B40" s="146" t="s">
        <v>117</v>
      </c>
      <c r="C40" s="138" t="s">
        <v>327</v>
      </c>
      <c r="D40" s="93" t="s">
        <v>326</v>
      </c>
      <c r="E40" s="122">
        <f>14.81*0.3</f>
        <v>4.443</v>
      </c>
      <c r="F40" s="123" t="s">
        <v>78</v>
      </c>
      <c r="G40" s="83">
        <v>263.55</v>
      </c>
      <c r="H40" s="83">
        <f t="shared" si="5"/>
        <v>1170.95</v>
      </c>
      <c r="I40" s="84">
        <f t="shared" si="4"/>
        <v>1346.5925</v>
      </c>
    </row>
    <row r="41" spans="2:9" ht="22.5">
      <c r="B41" s="146" t="s">
        <v>118</v>
      </c>
      <c r="C41" s="136" t="s">
        <v>188</v>
      </c>
      <c r="D41" s="87" t="s">
        <v>97</v>
      </c>
      <c r="E41" s="122">
        <f>E40</f>
        <v>4.443</v>
      </c>
      <c r="F41" s="123" t="s">
        <v>78</v>
      </c>
      <c r="G41" s="83">
        <v>95.5</v>
      </c>
      <c r="H41" s="83">
        <f t="shared" si="5"/>
        <v>424.3</v>
      </c>
      <c r="I41" s="84">
        <f t="shared" si="4"/>
        <v>487.945</v>
      </c>
    </row>
    <row r="42" spans="2:9" ht="22.5">
      <c r="B42" s="146" t="s">
        <v>330</v>
      </c>
      <c r="C42" s="133" t="s">
        <v>189</v>
      </c>
      <c r="D42" s="82" t="s">
        <v>16</v>
      </c>
      <c r="E42" s="122">
        <f>14.81*0.2</f>
        <v>2.962</v>
      </c>
      <c r="F42" s="123" t="s">
        <v>78</v>
      </c>
      <c r="G42" s="83">
        <v>501.64</v>
      </c>
      <c r="H42" s="83">
        <f t="shared" si="5"/>
        <v>1485.85</v>
      </c>
      <c r="I42" s="84">
        <f t="shared" si="4"/>
        <v>1708.7274999999997</v>
      </c>
    </row>
    <row r="43" spans="2:9" ht="12.75">
      <c r="B43" s="146" t="s">
        <v>331</v>
      </c>
      <c r="C43" s="133" t="s">
        <v>190</v>
      </c>
      <c r="D43" s="82" t="s">
        <v>24</v>
      </c>
      <c r="E43" s="122">
        <f>14.81+146.5*0.2</f>
        <v>44.11</v>
      </c>
      <c r="F43" s="123" t="s">
        <v>52</v>
      </c>
      <c r="G43" s="83">
        <v>4.11</v>
      </c>
      <c r="H43" s="83">
        <f t="shared" si="5"/>
        <v>181.29</v>
      </c>
      <c r="I43" s="84">
        <f t="shared" si="4"/>
        <v>208.48349999999996</v>
      </c>
    </row>
    <row r="44" spans="2:9" ht="22.5">
      <c r="B44" s="146" t="s">
        <v>376</v>
      </c>
      <c r="C44" s="133" t="s">
        <v>191</v>
      </c>
      <c r="D44" s="82" t="s">
        <v>81</v>
      </c>
      <c r="E44" s="122">
        <f>E43*0.03</f>
        <v>1.3233</v>
      </c>
      <c r="F44" s="123" t="s">
        <v>78</v>
      </c>
      <c r="G44" s="83">
        <v>482.37</v>
      </c>
      <c r="H44" s="83">
        <f t="shared" si="5"/>
        <v>638.32</v>
      </c>
      <c r="I44" s="84">
        <f t="shared" si="4"/>
        <v>734.068</v>
      </c>
    </row>
    <row r="45" spans="2:9" ht="22.5">
      <c r="B45" s="146" t="s">
        <v>377</v>
      </c>
      <c r="C45" s="133" t="s">
        <v>192</v>
      </c>
      <c r="D45" s="82" t="s">
        <v>82</v>
      </c>
      <c r="E45" s="122">
        <f>E43</f>
        <v>44.11</v>
      </c>
      <c r="F45" s="123" t="s">
        <v>52</v>
      </c>
      <c r="G45" s="83">
        <v>9.09</v>
      </c>
      <c r="H45" s="83">
        <f t="shared" si="5"/>
        <v>400.95</v>
      </c>
      <c r="I45" s="84">
        <f t="shared" si="4"/>
        <v>461.0925</v>
      </c>
    </row>
    <row r="46" spans="2:9" ht="13.5" thickBot="1">
      <c r="B46" s="88"/>
      <c r="C46" s="137"/>
      <c r="D46" s="89" t="s">
        <v>6</v>
      </c>
      <c r="E46" s="124"/>
      <c r="F46" s="125"/>
      <c r="G46" s="90"/>
      <c r="H46" s="90">
        <f>SUM(H35:H45)</f>
        <v>10911.070000000002</v>
      </c>
      <c r="I46" s="91">
        <f>SUM(I35:I45)</f>
        <v>12547.7305</v>
      </c>
    </row>
    <row r="47" spans="2:9" ht="12.75">
      <c r="B47" s="75">
        <v>4</v>
      </c>
      <c r="C47" s="132"/>
      <c r="D47" s="76" t="s">
        <v>17</v>
      </c>
      <c r="E47" s="120"/>
      <c r="F47" s="121"/>
      <c r="G47" s="80"/>
      <c r="H47" s="80"/>
      <c r="I47" s="81"/>
    </row>
    <row r="48" spans="2:9" ht="30" customHeight="1">
      <c r="B48" s="146" t="s">
        <v>36</v>
      </c>
      <c r="C48" s="133" t="s">
        <v>193</v>
      </c>
      <c r="D48" s="82" t="s">
        <v>49</v>
      </c>
      <c r="E48" s="122">
        <f>14*0.3*2*2.73+14*0.3*2*2.45+54.3*0.3</f>
        <v>59.802</v>
      </c>
      <c r="F48" s="123" t="s">
        <v>52</v>
      </c>
      <c r="G48" s="83">
        <v>86.28</v>
      </c>
      <c r="H48" s="83">
        <f aca="true" t="shared" si="6" ref="H48:H55">TRUNC(E48*G48,2)</f>
        <v>5159.71</v>
      </c>
      <c r="I48" s="84">
        <f aca="true" t="shared" si="7" ref="I48:I55">H48*1.15</f>
        <v>5933.666499999999</v>
      </c>
    </row>
    <row r="49" spans="2:9" ht="22.5">
      <c r="B49" s="146" t="s">
        <v>119</v>
      </c>
      <c r="C49" s="135" t="s">
        <v>329</v>
      </c>
      <c r="D49" s="86" t="s">
        <v>307</v>
      </c>
      <c r="E49" s="122">
        <f>7.77*2+0.3446248</f>
        <v>15.8846248</v>
      </c>
      <c r="F49" s="123" t="s">
        <v>52</v>
      </c>
      <c r="G49" s="83">
        <v>89.36</v>
      </c>
      <c r="H49" s="83">
        <f>TRUNC(E49*G49,2)</f>
        <v>1419.45</v>
      </c>
      <c r="I49" s="84">
        <f t="shared" si="7"/>
        <v>1632.3674999999998</v>
      </c>
    </row>
    <row r="50" spans="2:9" ht="12.75">
      <c r="B50" s="146" t="s">
        <v>120</v>
      </c>
      <c r="C50" s="133" t="s">
        <v>186</v>
      </c>
      <c r="D50" s="82" t="s">
        <v>37</v>
      </c>
      <c r="E50" s="122">
        <f>E52*60</f>
        <v>371.88</v>
      </c>
      <c r="F50" s="123" t="s">
        <v>35</v>
      </c>
      <c r="G50" s="83">
        <v>5.19</v>
      </c>
      <c r="H50" s="83">
        <f t="shared" si="6"/>
        <v>1930.05</v>
      </c>
      <c r="I50" s="84">
        <f t="shared" si="7"/>
        <v>2219.5575</v>
      </c>
    </row>
    <row r="51" spans="2:9" ht="12.75">
      <c r="B51" s="146" t="s">
        <v>378</v>
      </c>
      <c r="C51" s="133" t="s">
        <v>187</v>
      </c>
      <c r="D51" s="82" t="s">
        <v>93</v>
      </c>
      <c r="E51" s="122">
        <f>E52*20</f>
        <v>123.96000000000001</v>
      </c>
      <c r="F51" s="123" t="s">
        <v>35</v>
      </c>
      <c r="G51" s="83">
        <v>5.05</v>
      </c>
      <c r="H51" s="83">
        <f t="shared" si="6"/>
        <v>625.99</v>
      </c>
      <c r="I51" s="84">
        <f t="shared" si="7"/>
        <v>719.8884999999999</v>
      </c>
    </row>
    <row r="52" spans="2:9" ht="12.75">
      <c r="B52" s="146" t="s">
        <v>379</v>
      </c>
      <c r="C52" s="138" t="s">
        <v>327</v>
      </c>
      <c r="D52" s="93" t="s">
        <v>326</v>
      </c>
      <c r="E52" s="122">
        <f>14*0.15*0.25*3.58+14*0.15*0.25*3+14.29*0.15+0.6</f>
        <v>6.198</v>
      </c>
      <c r="F52" s="123" t="s">
        <v>78</v>
      </c>
      <c r="G52" s="83">
        <v>263.55</v>
      </c>
      <c r="H52" s="83">
        <f t="shared" si="6"/>
        <v>1633.48</v>
      </c>
      <c r="I52" s="84">
        <f t="shared" si="7"/>
        <v>1878.502</v>
      </c>
    </row>
    <row r="53" spans="2:9" ht="22.5">
      <c r="B53" s="146" t="s">
        <v>380</v>
      </c>
      <c r="C53" s="136" t="s">
        <v>194</v>
      </c>
      <c r="D53" s="87" t="s">
        <v>96</v>
      </c>
      <c r="E53" s="122">
        <f>E52</f>
        <v>6.198</v>
      </c>
      <c r="F53" s="123" t="s">
        <v>78</v>
      </c>
      <c r="G53" s="83">
        <v>65.96</v>
      </c>
      <c r="H53" s="83">
        <f t="shared" si="6"/>
        <v>408.82</v>
      </c>
      <c r="I53" s="84">
        <f t="shared" si="7"/>
        <v>470.143</v>
      </c>
    </row>
    <row r="54" spans="2:9" ht="22.5">
      <c r="B54" s="146" t="s">
        <v>381</v>
      </c>
      <c r="C54" s="133" t="s">
        <v>195</v>
      </c>
      <c r="D54" s="82" t="s">
        <v>51</v>
      </c>
      <c r="E54" s="122">
        <f>141.33+2.08-E55</f>
        <v>52.56000000000003</v>
      </c>
      <c r="F54" s="123" t="s">
        <v>52</v>
      </c>
      <c r="G54" s="83">
        <v>79.47</v>
      </c>
      <c r="H54" s="83">
        <f>TRUNC(E54*G54,2)</f>
        <v>4176.94</v>
      </c>
      <c r="I54" s="84">
        <f t="shared" si="7"/>
        <v>4803.480999999999</v>
      </c>
    </row>
    <row r="55" spans="2:9" ht="22.5">
      <c r="B55" s="146" t="s">
        <v>382</v>
      </c>
      <c r="C55" s="133" t="s">
        <v>445</v>
      </c>
      <c r="D55" s="82" t="s">
        <v>328</v>
      </c>
      <c r="E55" s="122">
        <v>90.85</v>
      </c>
      <c r="F55" s="123" t="s">
        <v>52</v>
      </c>
      <c r="G55" s="83">
        <v>90.88</v>
      </c>
      <c r="H55" s="83">
        <f t="shared" si="6"/>
        <v>8256.44</v>
      </c>
      <c r="I55" s="84">
        <f t="shared" si="7"/>
        <v>9494.905999999999</v>
      </c>
    </row>
    <row r="56" spans="2:9" ht="13.5" thickBot="1">
      <c r="B56" s="88"/>
      <c r="C56" s="137"/>
      <c r="D56" s="89" t="s">
        <v>6</v>
      </c>
      <c r="E56" s="124"/>
      <c r="F56" s="125"/>
      <c r="G56" s="90"/>
      <c r="H56" s="90">
        <f>SUM(H48:H55)</f>
        <v>23610.879999999997</v>
      </c>
      <c r="I56" s="91">
        <f>SUM(I48:I55)</f>
        <v>27152.511999999995</v>
      </c>
    </row>
    <row r="57" spans="2:9" ht="22.5">
      <c r="B57" s="75">
        <v>5</v>
      </c>
      <c r="C57" s="132"/>
      <c r="D57" s="76" t="s">
        <v>22</v>
      </c>
      <c r="E57" s="120"/>
      <c r="F57" s="121"/>
      <c r="G57" s="80"/>
      <c r="H57" s="80"/>
      <c r="I57" s="81"/>
    </row>
    <row r="58" spans="2:9" ht="22.5">
      <c r="B58" s="146" t="s">
        <v>121</v>
      </c>
      <c r="C58" s="133" t="s">
        <v>289</v>
      </c>
      <c r="D58" s="82" t="s">
        <v>290</v>
      </c>
      <c r="E58" s="122">
        <f>8.25*2.45-2*0.8*2.1+35.2*0.85+44.8*0.55+9.8*0.4+11.1*0.3</f>
        <v>78.66250000000001</v>
      </c>
      <c r="F58" s="123" t="s">
        <v>52</v>
      </c>
      <c r="G58" s="83">
        <v>39.28</v>
      </c>
      <c r="H58" s="83">
        <f>TRUNC(E58*G58,2)</f>
        <v>3089.86</v>
      </c>
      <c r="I58" s="84">
        <f>H58*1.15</f>
        <v>3553.339</v>
      </c>
    </row>
    <row r="59" spans="2:9" ht="33.75">
      <c r="B59" s="146" t="s">
        <v>383</v>
      </c>
      <c r="C59" s="134" t="s">
        <v>248</v>
      </c>
      <c r="D59" s="85" t="s">
        <v>246</v>
      </c>
      <c r="E59" s="122">
        <f>58.8*2.45-3*1.2*4-1*1.2*2+1.5*0.6*2*2*0.6*2-2*2.1*3</f>
        <v>118.97999999999999</v>
      </c>
      <c r="F59" s="123" t="s">
        <v>52</v>
      </c>
      <c r="G59" s="83">
        <v>45.8</v>
      </c>
      <c r="H59" s="83">
        <f>TRUNC(E59*G59,2)</f>
        <v>5449.28</v>
      </c>
      <c r="I59" s="84">
        <f>H59*1.15</f>
        <v>6266.672</v>
      </c>
    </row>
    <row r="60" spans="2:9" ht="22.5">
      <c r="B60" s="146" t="s">
        <v>122</v>
      </c>
      <c r="C60" s="133" t="s">
        <v>196</v>
      </c>
      <c r="D60" s="82" t="s">
        <v>98</v>
      </c>
      <c r="E60" s="122">
        <f>(23.8+64.45)*0.15*0.15+10.4*0.09*0.15+35.2*0.09*0.15+44.8*0.09*0.15</f>
        <v>3.206025</v>
      </c>
      <c r="F60" s="123" t="s">
        <v>78</v>
      </c>
      <c r="G60" s="83">
        <v>964.48</v>
      </c>
      <c r="H60" s="83">
        <f>TRUNC(E60*G60,2)</f>
        <v>3092.14</v>
      </c>
      <c r="I60" s="84">
        <f>H60*1.15</f>
        <v>3555.961</v>
      </c>
    </row>
    <row r="61" spans="2:9" ht="22.5">
      <c r="B61" s="146" t="s">
        <v>123</v>
      </c>
      <c r="C61" s="135" t="s">
        <v>324</v>
      </c>
      <c r="D61" s="86" t="s">
        <v>308</v>
      </c>
      <c r="E61" s="123">
        <v>10</v>
      </c>
      <c r="F61" s="123" t="s">
        <v>52</v>
      </c>
      <c r="G61" s="83">
        <v>670.18</v>
      </c>
      <c r="H61" s="83">
        <f>TRUNC(E61*G61,2)</f>
        <v>6701.8</v>
      </c>
      <c r="I61" s="84">
        <f>H61*1.15</f>
        <v>7707.07</v>
      </c>
    </row>
    <row r="62" spans="2:9" ht="45">
      <c r="B62" s="146" t="s">
        <v>384</v>
      </c>
      <c r="C62" s="123" t="s">
        <v>286</v>
      </c>
      <c r="D62" s="82" t="s">
        <v>263</v>
      </c>
      <c r="E62" s="122">
        <f>7.5*2.88</f>
        <v>21.599999999999998</v>
      </c>
      <c r="F62" s="123" t="s">
        <v>52</v>
      </c>
      <c r="G62" s="83">
        <v>116.89</v>
      </c>
      <c r="H62" s="83">
        <f>TRUNC(E62*G62,2)</f>
        <v>2524.82</v>
      </c>
      <c r="I62" s="84">
        <f>H62*1.15</f>
        <v>2903.543</v>
      </c>
    </row>
    <row r="63" spans="2:9" ht="13.5" thickBot="1">
      <c r="B63" s="88"/>
      <c r="C63" s="139"/>
      <c r="D63" s="94" t="s">
        <v>6</v>
      </c>
      <c r="E63" s="124"/>
      <c r="F63" s="125"/>
      <c r="G63" s="90"/>
      <c r="H63" s="91">
        <f>SUM(H58:H62)</f>
        <v>20857.899999999998</v>
      </c>
      <c r="I63" s="91">
        <f>SUM(I58:I62)</f>
        <v>23986.585</v>
      </c>
    </row>
    <row r="64" spans="2:9" ht="12.75">
      <c r="B64" s="75">
        <v>6</v>
      </c>
      <c r="C64" s="140"/>
      <c r="D64" s="95" t="s">
        <v>18</v>
      </c>
      <c r="E64" s="120"/>
      <c r="F64" s="121"/>
      <c r="G64" s="80"/>
      <c r="H64" s="80"/>
      <c r="I64" s="81"/>
    </row>
    <row r="65" spans="2:9" ht="12.75">
      <c r="B65" s="146" t="s">
        <v>124</v>
      </c>
      <c r="C65" s="135" t="s">
        <v>447</v>
      </c>
      <c r="D65" s="86" t="s">
        <v>446</v>
      </c>
      <c r="E65" s="122">
        <v>124.52</v>
      </c>
      <c r="F65" s="123" t="s">
        <v>52</v>
      </c>
      <c r="G65" s="83">
        <v>48.7</v>
      </c>
      <c r="H65" s="83">
        <f aca="true" t="shared" si="8" ref="H65:H71">TRUNC(E65*G65,2)</f>
        <v>6064.12</v>
      </c>
      <c r="I65" s="84">
        <f aca="true" t="shared" si="9" ref="I65:I71">H65*1.15</f>
        <v>6973.737999999999</v>
      </c>
    </row>
    <row r="66" spans="2:9" ht="22.5">
      <c r="B66" s="146" t="s">
        <v>125</v>
      </c>
      <c r="C66" s="135" t="s">
        <v>358</v>
      </c>
      <c r="D66" s="86" t="s">
        <v>292</v>
      </c>
      <c r="E66" s="122">
        <v>4</v>
      </c>
      <c r="F66" s="123" t="s">
        <v>33</v>
      </c>
      <c r="G66" s="83">
        <v>35.74</v>
      </c>
      <c r="H66" s="83">
        <f t="shared" si="8"/>
        <v>142.96</v>
      </c>
      <c r="I66" s="84">
        <f t="shared" si="9"/>
        <v>164.404</v>
      </c>
    </row>
    <row r="67" spans="2:9" ht="22.5">
      <c r="B67" s="146" t="s">
        <v>126</v>
      </c>
      <c r="C67" s="135" t="s">
        <v>357</v>
      </c>
      <c r="D67" s="86" t="s">
        <v>291</v>
      </c>
      <c r="E67" s="122">
        <v>124.52</v>
      </c>
      <c r="F67" s="123" t="s">
        <v>52</v>
      </c>
      <c r="G67" s="83">
        <v>31.53</v>
      </c>
      <c r="H67" s="83">
        <f t="shared" si="8"/>
        <v>3926.11</v>
      </c>
      <c r="I67" s="84">
        <f t="shared" si="9"/>
        <v>4515.0265</v>
      </c>
    </row>
    <row r="68" spans="2:9" ht="22.5">
      <c r="B68" s="146" t="s">
        <v>127</v>
      </c>
      <c r="C68" s="135" t="s">
        <v>356</v>
      </c>
      <c r="D68" s="86" t="s">
        <v>293</v>
      </c>
      <c r="E68" s="122">
        <f>9.8*1.1+11.1*0.9</f>
        <v>20.770000000000003</v>
      </c>
      <c r="F68" s="123" t="s">
        <v>52</v>
      </c>
      <c r="G68" s="83">
        <v>13.27</v>
      </c>
      <c r="H68" s="83">
        <f t="shared" si="8"/>
        <v>275.61</v>
      </c>
      <c r="I68" s="84">
        <f t="shared" si="9"/>
        <v>316.9515</v>
      </c>
    </row>
    <row r="69" spans="2:9" ht="22.5">
      <c r="B69" s="146" t="s">
        <v>128</v>
      </c>
      <c r="C69" s="135" t="s">
        <v>355</v>
      </c>
      <c r="D69" s="86" t="s">
        <v>294</v>
      </c>
      <c r="E69" s="122">
        <f>E68</f>
        <v>20.770000000000003</v>
      </c>
      <c r="F69" s="123" t="s">
        <v>52</v>
      </c>
      <c r="G69" s="83">
        <v>45.08</v>
      </c>
      <c r="H69" s="83">
        <f t="shared" si="8"/>
        <v>936.31</v>
      </c>
      <c r="I69" s="84">
        <f t="shared" si="9"/>
        <v>1076.7565</v>
      </c>
    </row>
    <row r="70" spans="2:9" ht="22.5">
      <c r="B70" s="146" t="s">
        <v>385</v>
      </c>
      <c r="C70" s="138" t="s">
        <v>354</v>
      </c>
      <c r="D70" s="93" t="s">
        <v>332</v>
      </c>
      <c r="E70" s="122">
        <v>61.55</v>
      </c>
      <c r="F70" s="123" t="s">
        <v>34</v>
      </c>
      <c r="G70" s="83">
        <v>7.46</v>
      </c>
      <c r="H70" s="83">
        <f>TRUNC(E70*G70,2)</f>
        <v>459.16</v>
      </c>
      <c r="I70" s="84">
        <f t="shared" si="9"/>
        <v>528.034</v>
      </c>
    </row>
    <row r="71" spans="2:9" ht="22.5">
      <c r="B71" s="146" t="s">
        <v>386</v>
      </c>
      <c r="C71" s="141" t="s">
        <v>353</v>
      </c>
      <c r="D71" s="96" t="s">
        <v>295</v>
      </c>
      <c r="E71" s="122">
        <v>45.95</v>
      </c>
      <c r="F71" s="123" t="s">
        <v>33</v>
      </c>
      <c r="G71" s="83">
        <v>48.68</v>
      </c>
      <c r="H71" s="83">
        <f t="shared" si="8"/>
        <v>2236.84</v>
      </c>
      <c r="I71" s="84">
        <f t="shared" si="9"/>
        <v>2572.366</v>
      </c>
    </row>
    <row r="72" spans="2:9" ht="13.5" thickBot="1">
      <c r="B72" s="88"/>
      <c r="C72" s="139"/>
      <c r="D72" s="94" t="s">
        <v>6</v>
      </c>
      <c r="E72" s="124"/>
      <c r="F72" s="125"/>
      <c r="G72" s="90"/>
      <c r="H72" s="90">
        <f>SUM(H65:H71)</f>
        <v>14041.11</v>
      </c>
      <c r="I72" s="91">
        <f>SUM(I65:I71)</f>
        <v>16147.276499999998</v>
      </c>
    </row>
    <row r="73" spans="2:9" ht="12.75">
      <c r="B73" s="75">
        <v>7</v>
      </c>
      <c r="C73" s="132"/>
      <c r="D73" s="76" t="s">
        <v>19</v>
      </c>
      <c r="E73" s="120"/>
      <c r="F73" s="121"/>
      <c r="G73" s="80"/>
      <c r="H73" s="80"/>
      <c r="I73" s="81"/>
    </row>
    <row r="74" spans="2:9" ht="22.5">
      <c r="B74" s="146" t="s">
        <v>129</v>
      </c>
      <c r="C74" s="133" t="s">
        <v>197</v>
      </c>
      <c r="D74" s="82" t="s">
        <v>53</v>
      </c>
      <c r="E74" s="122">
        <v>22</v>
      </c>
      <c r="F74" s="123" t="s">
        <v>33</v>
      </c>
      <c r="G74" s="83">
        <v>27.82</v>
      </c>
      <c r="H74" s="83">
        <f>TRUNC(E74*G74,2)</f>
        <v>612.04</v>
      </c>
      <c r="I74" s="84">
        <f>H74*1.15</f>
        <v>703.8459999999999</v>
      </c>
    </row>
    <row r="75" spans="2:9" ht="22.5">
      <c r="B75" s="146" t="s">
        <v>130</v>
      </c>
      <c r="C75" s="133" t="s">
        <v>198</v>
      </c>
      <c r="D75" s="82" t="s">
        <v>54</v>
      </c>
      <c r="E75" s="122">
        <v>37</v>
      </c>
      <c r="F75" s="123" t="s">
        <v>33</v>
      </c>
      <c r="G75" s="83">
        <v>35.35</v>
      </c>
      <c r="H75" s="83">
        <f>TRUNC(E75*G75,2)</f>
        <v>1307.95</v>
      </c>
      <c r="I75" s="84">
        <f>H75*1.15</f>
        <v>1504.1425</v>
      </c>
    </row>
    <row r="76" spans="2:9" ht="22.5">
      <c r="B76" s="146" t="s">
        <v>131</v>
      </c>
      <c r="C76" s="123" t="s">
        <v>285</v>
      </c>
      <c r="D76" s="82" t="s">
        <v>249</v>
      </c>
      <c r="E76" s="122">
        <v>3</v>
      </c>
      <c r="F76" s="123" t="s">
        <v>34</v>
      </c>
      <c r="G76" s="83">
        <v>37.12</v>
      </c>
      <c r="H76" s="83">
        <f>TRUNC(E76*G76,2)</f>
        <v>111.36</v>
      </c>
      <c r="I76" s="84">
        <f>H76*1.15</f>
        <v>128.064</v>
      </c>
    </row>
    <row r="77" spans="2:9" ht="12.75">
      <c r="B77" s="146" t="s">
        <v>132</v>
      </c>
      <c r="C77" s="133" t="s">
        <v>199</v>
      </c>
      <c r="D77" s="82" t="s">
        <v>55</v>
      </c>
      <c r="E77" s="122">
        <v>1</v>
      </c>
      <c r="F77" s="123" t="s">
        <v>34</v>
      </c>
      <c r="G77" s="83">
        <v>167.59</v>
      </c>
      <c r="H77" s="83">
        <f>TRUNC(E77*G77,2)</f>
        <v>167.59</v>
      </c>
      <c r="I77" s="84">
        <f>H77*1.15</f>
        <v>192.7285</v>
      </c>
    </row>
    <row r="78" spans="2:9" ht="12.75">
      <c r="B78" s="146" t="s">
        <v>133</v>
      </c>
      <c r="C78" s="133" t="s">
        <v>199</v>
      </c>
      <c r="D78" s="82" t="s">
        <v>56</v>
      </c>
      <c r="E78" s="122">
        <v>5</v>
      </c>
      <c r="F78" s="123" t="s">
        <v>34</v>
      </c>
      <c r="G78" s="83">
        <v>167.59</v>
      </c>
      <c r="H78" s="83">
        <f>TRUNC(E78*G78,2)</f>
        <v>837.95</v>
      </c>
      <c r="I78" s="84">
        <f>H78*1.15</f>
        <v>963.6424999999999</v>
      </c>
    </row>
    <row r="79" spans="2:9" ht="13.5" thickBot="1">
      <c r="B79" s="88"/>
      <c r="C79" s="137"/>
      <c r="D79" s="89" t="s">
        <v>6</v>
      </c>
      <c r="E79" s="124"/>
      <c r="F79" s="125"/>
      <c r="G79" s="90"/>
      <c r="H79" s="90">
        <f>SUM(H74:H78)</f>
        <v>3036.8900000000003</v>
      </c>
      <c r="I79" s="91">
        <f>SUM(I74:I78)</f>
        <v>3492.4235</v>
      </c>
    </row>
    <row r="80" spans="2:9" ht="12.75">
      <c r="B80" s="75">
        <v>8</v>
      </c>
      <c r="C80" s="132"/>
      <c r="D80" s="76" t="s">
        <v>20</v>
      </c>
      <c r="E80" s="120"/>
      <c r="F80" s="121"/>
      <c r="G80" s="80"/>
      <c r="H80" s="80"/>
      <c r="I80" s="81"/>
    </row>
    <row r="81" spans="2:9" ht="22.5">
      <c r="B81" s="146" t="s">
        <v>134</v>
      </c>
      <c r="C81" s="133" t="s">
        <v>200</v>
      </c>
      <c r="D81" s="82" t="s">
        <v>110</v>
      </c>
      <c r="E81" s="122">
        <v>1</v>
      </c>
      <c r="F81" s="123" t="s">
        <v>34</v>
      </c>
      <c r="G81" s="83">
        <v>778.72</v>
      </c>
      <c r="H81" s="83">
        <f aca="true" t="shared" si="10" ref="H81:H105">TRUNC(E81*G81,2)</f>
        <v>778.72</v>
      </c>
      <c r="I81" s="84">
        <f aca="true" t="shared" si="11" ref="I81:I105">H81*1.15</f>
        <v>895.5279999999999</v>
      </c>
    </row>
    <row r="82" spans="2:9" ht="22.5">
      <c r="B82" s="146" t="s">
        <v>135</v>
      </c>
      <c r="C82" s="133" t="s">
        <v>201</v>
      </c>
      <c r="D82" s="82" t="s">
        <v>57</v>
      </c>
      <c r="E82" s="122">
        <v>42</v>
      </c>
      <c r="F82" s="123" t="s">
        <v>33</v>
      </c>
      <c r="G82" s="83">
        <v>17.64</v>
      </c>
      <c r="H82" s="83">
        <f t="shared" si="10"/>
        <v>740.88</v>
      </c>
      <c r="I82" s="84">
        <f t="shared" si="11"/>
        <v>852.012</v>
      </c>
    </row>
    <row r="83" spans="2:9" ht="26.25" customHeight="1">
      <c r="B83" s="146" t="s">
        <v>136</v>
      </c>
      <c r="C83" s="133" t="s">
        <v>202</v>
      </c>
      <c r="D83" s="82" t="s">
        <v>58</v>
      </c>
      <c r="E83" s="122">
        <f>21+75</f>
        <v>96</v>
      </c>
      <c r="F83" s="123" t="s">
        <v>33</v>
      </c>
      <c r="G83" s="83">
        <v>29.2</v>
      </c>
      <c r="H83" s="83">
        <f t="shared" si="10"/>
        <v>2803.2</v>
      </c>
      <c r="I83" s="84">
        <f t="shared" si="11"/>
        <v>3223.6799999999994</v>
      </c>
    </row>
    <row r="84" spans="2:9" ht="22.5">
      <c r="B84" s="146" t="s">
        <v>387</v>
      </c>
      <c r="C84" s="133" t="s">
        <v>203</v>
      </c>
      <c r="D84" s="82" t="s">
        <v>91</v>
      </c>
      <c r="E84" s="122">
        <v>1</v>
      </c>
      <c r="F84" s="123" t="s">
        <v>34</v>
      </c>
      <c r="G84" s="83">
        <v>41.12</v>
      </c>
      <c r="H84" s="83">
        <f t="shared" si="10"/>
        <v>41.12</v>
      </c>
      <c r="I84" s="84">
        <f t="shared" si="11"/>
        <v>47.288</v>
      </c>
    </row>
    <row r="85" spans="2:9" ht="22.5">
      <c r="B85" s="146" t="s">
        <v>137</v>
      </c>
      <c r="C85" s="133" t="s">
        <v>204</v>
      </c>
      <c r="D85" s="82" t="s">
        <v>59</v>
      </c>
      <c r="E85" s="122">
        <v>1</v>
      </c>
      <c r="F85" s="123" t="s">
        <v>34</v>
      </c>
      <c r="G85" s="83">
        <v>88.99</v>
      </c>
      <c r="H85" s="83">
        <f t="shared" si="10"/>
        <v>88.99</v>
      </c>
      <c r="I85" s="84">
        <f t="shared" si="11"/>
        <v>102.33849999999998</v>
      </c>
    </row>
    <row r="86" spans="2:9" ht="22.5">
      <c r="B86" s="146" t="s">
        <v>138</v>
      </c>
      <c r="C86" s="133" t="s">
        <v>205</v>
      </c>
      <c r="D86" s="82" t="s">
        <v>60</v>
      </c>
      <c r="E86" s="122">
        <v>4</v>
      </c>
      <c r="F86" s="123" t="s">
        <v>34</v>
      </c>
      <c r="G86" s="83">
        <v>70.44</v>
      </c>
      <c r="H86" s="83">
        <f t="shared" si="10"/>
        <v>281.76</v>
      </c>
      <c r="I86" s="84">
        <f t="shared" si="11"/>
        <v>324.02399999999994</v>
      </c>
    </row>
    <row r="87" spans="2:9" ht="22.5">
      <c r="B87" s="146" t="s">
        <v>139</v>
      </c>
      <c r="C87" s="133" t="s">
        <v>206</v>
      </c>
      <c r="D87" s="82" t="s">
        <v>87</v>
      </c>
      <c r="E87" s="122">
        <v>2</v>
      </c>
      <c r="F87" s="123" t="s">
        <v>34</v>
      </c>
      <c r="G87" s="83">
        <v>115.76</v>
      </c>
      <c r="H87" s="83">
        <f t="shared" si="10"/>
        <v>231.52</v>
      </c>
      <c r="I87" s="84">
        <f t="shared" si="11"/>
        <v>266.248</v>
      </c>
    </row>
    <row r="88" spans="2:9" ht="12.75">
      <c r="B88" s="146" t="s">
        <v>140</v>
      </c>
      <c r="C88" s="133" t="s">
        <v>207</v>
      </c>
      <c r="D88" s="82" t="s">
        <v>21</v>
      </c>
      <c r="E88" s="122">
        <v>1</v>
      </c>
      <c r="F88" s="123" t="s">
        <v>34</v>
      </c>
      <c r="G88" s="83">
        <v>53.14</v>
      </c>
      <c r="H88" s="83">
        <f t="shared" si="10"/>
        <v>53.14</v>
      </c>
      <c r="I88" s="84">
        <f t="shared" si="11"/>
        <v>61.111</v>
      </c>
    </row>
    <row r="89" spans="2:9" ht="22.5">
      <c r="B89" s="146" t="s">
        <v>141</v>
      </c>
      <c r="C89" s="133" t="s">
        <v>208</v>
      </c>
      <c r="D89" s="82" t="s">
        <v>61</v>
      </c>
      <c r="E89" s="122">
        <v>1</v>
      </c>
      <c r="F89" s="123" t="s">
        <v>34</v>
      </c>
      <c r="G89" s="83">
        <v>423.1</v>
      </c>
      <c r="H89" s="83">
        <f t="shared" si="10"/>
        <v>423.1</v>
      </c>
      <c r="I89" s="84">
        <f t="shared" si="11"/>
        <v>486.565</v>
      </c>
    </row>
    <row r="90" spans="2:9" ht="22.5">
      <c r="B90" s="146" t="s">
        <v>388</v>
      </c>
      <c r="C90" s="133" t="s">
        <v>209</v>
      </c>
      <c r="D90" s="82" t="s">
        <v>62</v>
      </c>
      <c r="E90" s="122">
        <v>4</v>
      </c>
      <c r="F90" s="123" t="s">
        <v>34</v>
      </c>
      <c r="G90" s="83">
        <v>206.61</v>
      </c>
      <c r="H90" s="83">
        <f t="shared" si="10"/>
        <v>826.44</v>
      </c>
      <c r="I90" s="84">
        <f t="shared" si="11"/>
        <v>950.406</v>
      </c>
    </row>
    <row r="91" spans="2:9" ht="12.75">
      <c r="B91" s="146" t="s">
        <v>142</v>
      </c>
      <c r="C91" s="133" t="s">
        <v>210</v>
      </c>
      <c r="D91" s="82" t="s">
        <v>103</v>
      </c>
      <c r="E91" s="122">
        <v>2</v>
      </c>
      <c r="F91" s="123" t="s">
        <v>34</v>
      </c>
      <c r="G91" s="83">
        <v>172.71</v>
      </c>
      <c r="H91" s="83">
        <f t="shared" si="10"/>
        <v>345.42</v>
      </c>
      <c r="I91" s="84">
        <f t="shared" si="11"/>
        <v>397.233</v>
      </c>
    </row>
    <row r="92" spans="2:9" ht="12.75">
      <c r="B92" s="146" t="s">
        <v>143</v>
      </c>
      <c r="C92" s="133" t="s">
        <v>241</v>
      </c>
      <c r="D92" s="82" t="s">
        <v>107</v>
      </c>
      <c r="E92" s="122">
        <v>2</v>
      </c>
      <c r="F92" s="123" t="s">
        <v>34</v>
      </c>
      <c r="G92" s="83">
        <v>24.4</v>
      </c>
      <c r="H92" s="83">
        <f t="shared" si="10"/>
        <v>48.8</v>
      </c>
      <c r="I92" s="84">
        <f t="shared" si="11"/>
        <v>56.11999999999999</v>
      </c>
    </row>
    <row r="93" spans="2:9" ht="22.5">
      <c r="B93" s="146" t="s">
        <v>144</v>
      </c>
      <c r="C93" s="123" t="s">
        <v>284</v>
      </c>
      <c r="D93" s="82" t="s">
        <v>250</v>
      </c>
      <c r="E93" s="122">
        <v>2</v>
      </c>
      <c r="F93" s="123" t="s">
        <v>34</v>
      </c>
      <c r="G93" s="83">
        <v>455.59</v>
      </c>
      <c r="H93" s="83">
        <f t="shared" si="10"/>
        <v>911.18</v>
      </c>
      <c r="I93" s="84">
        <f t="shared" si="11"/>
        <v>1047.857</v>
      </c>
    </row>
    <row r="94" spans="2:9" ht="22.5">
      <c r="B94" s="146" t="s">
        <v>145</v>
      </c>
      <c r="C94" s="123" t="s">
        <v>283</v>
      </c>
      <c r="D94" s="82" t="s">
        <v>106</v>
      </c>
      <c r="E94" s="122">
        <v>2</v>
      </c>
      <c r="F94" s="123" t="s">
        <v>34</v>
      </c>
      <c r="G94" s="83">
        <v>597.56</v>
      </c>
      <c r="H94" s="83">
        <f t="shared" si="10"/>
        <v>1195.12</v>
      </c>
      <c r="I94" s="84">
        <f t="shared" si="11"/>
        <v>1374.3879999999997</v>
      </c>
    </row>
    <row r="95" spans="2:9" ht="33.75">
      <c r="B95" s="146" t="s">
        <v>146</v>
      </c>
      <c r="C95" s="123" t="s">
        <v>282</v>
      </c>
      <c r="D95" s="82" t="s">
        <v>176</v>
      </c>
      <c r="E95" s="122">
        <v>6</v>
      </c>
      <c r="F95" s="123" t="s">
        <v>34</v>
      </c>
      <c r="G95" s="83">
        <v>134.55</v>
      </c>
      <c r="H95" s="83">
        <f t="shared" si="10"/>
        <v>807.3</v>
      </c>
      <c r="I95" s="84">
        <f t="shared" si="11"/>
        <v>928.3949999999999</v>
      </c>
    </row>
    <row r="96" spans="2:9" ht="22.5">
      <c r="B96" s="146" t="s">
        <v>147</v>
      </c>
      <c r="C96" s="123" t="s">
        <v>453</v>
      </c>
      <c r="D96" s="82" t="s">
        <v>452</v>
      </c>
      <c r="E96" s="122">
        <v>1</v>
      </c>
      <c r="F96" s="123" t="s">
        <v>34</v>
      </c>
      <c r="G96" s="83">
        <v>1751.17</v>
      </c>
      <c r="H96" s="83">
        <f t="shared" si="10"/>
        <v>1751.17</v>
      </c>
      <c r="I96" s="84">
        <f t="shared" si="11"/>
        <v>2013.8455</v>
      </c>
    </row>
    <row r="97" spans="2:9" ht="12.75">
      <c r="B97" s="146" t="s">
        <v>148</v>
      </c>
      <c r="C97" s="123" t="s">
        <v>281</v>
      </c>
      <c r="D97" s="82" t="s">
        <v>251</v>
      </c>
      <c r="E97" s="122">
        <v>4</v>
      </c>
      <c r="F97" s="123" t="s">
        <v>34</v>
      </c>
      <c r="G97" s="83">
        <v>90.42</v>
      </c>
      <c r="H97" s="83">
        <f t="shared" si="10"/>
        <v>361.68</v>
      </c>
      <c r="I97" s="84">
        <f t="shared" si="11"/>
        <v>415.93199999999996</v>
      </c>
    </row>
    <row r="98" spans="2:9" ht="12.75">
      <c r="B98" s="146" t="s">
        <v>149</v>
      </c>
      <c r="C98" s="133" t="s">
        <v>211</v>
      </c>
      <c r="D98" s="82" t="s">
        <v>108</v>
      </c>
      <c r="E98" s="122">
        <v>4</v>
      </c>
      <c r="F98" s="123" t="s">
        <v>34</v>
      </c>
      <c r="G98" s="83">
        <v>55.26</v>
      </c>
      <c r="H98" s="83">
        <f t="shared" si="10"/>
        <v>221.04</v>
      </c>
      <c r="I98" s="84">
        <f t="shared" si="11"/>
        <v>254.19599999999997</v>
      </c>
    </row>
    <row r="99" spans="2:9" ht="33.75">
      <c r="B99" s="146" t="s">
        <v>389</v>
      </c>
      <c r="C99" s="133" t="s">
        <v>212</v>
      </c>
      <c r="D99" s="82" t="s">
        <v>83</v>
      </c>
      <c r="E99" s="122">
        <v>4</v>
      </c>
      <c r="F99" s="123" t="s">
        <v>34</v>
      </c>
      <c r="G99" s="83">
        <v>339.65</v>
      </c>
      <c r="H99" s="83">
        <f t="shared" si="10"/>
        <v>1358.6</v>
      </c>
      <c r="I99" s="84">
        <f t="shared" si="11"/>
        <v>1562.3899999999999</v>
      </c>
    </row>
    <row r="100" spans="2:9" ht="22.5">
      <c r="B100" s="146" t="s">
        <v>150</v>
      </c>
      <c r="C100" s="133" t="s">
        <v>213</v>
      </c>
      <c r="D100" s="82" t="s">
        <v>88</v>
      </c>
      <c r="E100" s="122">
        <v>2</v>
      </c>
      <c r="F100" s="123" t="s">
        <v>34</v>
      </c>
      <c r="G100" s="83">
        <v>52.19</v>
      </c>
      <c r="H100" s="83">
        <f t="shared" si="10"/>
        <v>104.38</v>
      </c>
      <c r="I100" s="84">
        <f t="shared" si="11"/>
        <v>120.03699999999999</v>
      </c>
    </row>
    <row r="101" spans="2:9" ht="22.5">
      <c r="B101" s="146" t="s">
        <v>151</v>
      </c>
      <c r="C101" s="133" t="s">
        <v>455</v>
      </c>
      <c r="D101" s="82" t="s">
        <v>454</v>
      </c>
      <c r="E101" s="122">
        <v>2</v>
      </c>
      <c r="F101" s="123" t="s">
        <v>34</v>
      </c>
      <c r="G101" s="83">
        <v>191.72</v>
      </c>
      <c r="H101" s="83">
        <f t="shared" si="10"/>
        <v>383.44</v>
      </c>
      <c r="I101" s="84">
        <f t="shared" si="11"/>
        <v>440.95599999999996</v>
      </c>
    </row>
    <row r="102" spans="2:9" ht="12.75">
      <c r="B102" s="146" t="s">
        <v>390</v>
      </c>
      <c r="C102" s="133" t="s">
        <v>214</v>
      </c>
      <c r="D102" s="82" t="s">
        <v>109</v>
      </c>
      <c r="E102" s="122">
        <v>2</v>
      </c>
      <c r="F102" s="123" t="s">
        <v>34</v>
      </c>
      <c r="G102" s="83">
        <v>29.69</v>
      </c>
      <c r="H102" s="83">
        <f t="shared" si="10"/>
        <v>59.38</v>
      </c>
      <c r="I102" s="84">
        <f t="shared" si="11"/>
        <v>68.28699999999999</v>
      </c>
    </row>
    <row r="103" spans="2:9" ht="22.5">
      <c r="B103" s="146" t="s">
        <v>391</v>
      </c>
      <c r="C103" s="133" t="s">
        <v>215</v>
      </c>
      <c r="D103" s="82" t="s">
        <v>104</v>
      </c>
      <c r="E103" s="122">
        <v>1</v>
      </c>
      <c r="F103" s="123" t="s">
        <v>34</v>
      </c>
      <c r="G103" s="83">
        <v>76.15</v>
      </c>
      <c r="H103" s="83">
        <f>TRUNC(E103*G103,2)</f>
        <v>76.15</v>
      </c>
      <c r="I103" s="84">
        <f t="shared" si="11"/>
        <v>87.5725</v>
      </c>
    </row>
    <row r="104" spans="2:9" ht="22.5">
      <c r="B104" s="146" t="s">
        <v>392</v>
      </c>
      <c r="C104" s="135" t="s">
        <v>352</v>
      </c>
      <c r="D104" s="86" t="s">
        <v>296</v>
      </c>
      <c r="E104" s="122">
        <v>1</v>
      </c>
      <c r="F104" s="123" t="s">
        <v>34</v>
      </c>
      <c r="G104" s="83">
        <v>25.84</v>
      </c>
      <c r="H104" s="83">
        <f>TRUNC(E104*G104,2)</f>
        <v>25.84</v>
      </c>
      <c r="I104" s="84">
        <f t="shared" si="11"/>
        <v>29.715999999999998</v>
      </c>
    </row>
    <row r="105" spans="2:9" ht="22.5">
      <c r="B105" s="146" t="s">
        <v>393</v>
      </c>
      <c r="C105" s="136" t="s">
        <v>199</v>
      </c>
      <c r="D105" s="87" t="s">
        <v>333</v>
      </c>
      <c r="E105" s="122">
        <v>6</v>
      </c>
      <c r="F105" s="123" t="s">
        <v>34</v>
      </c>
      <c r="G105" s="83">
        <v>182.79</v>
      </c>
      <c r="H105" s="83">
        <f t="shared" si="10"/>
        <v>1096.74</v>
      </c>
      <c r="I105" s="84">
        <f t="shared" si="11"/>
        <v>1261.251</v>
      </c>
    </row>
    <row r="106" spans="2:9" ht="13.5" thickBot="1">
      <c r="B106" s="147"/>
      <c r="C106" s="137"/>
      <c r="D106" s="89" t="s">
        <v>6</v>
      </c>
      <c r="E106" s="124"/>
      <c r="F106" s="125"/>
      <c r="G106" s="90"/>
      <c r="H106" s="90">
        <f>SUM(H81:H105)</f>
        <v>15015.11</v>
      </c>
      <c r="I106" s="91">
        <f>SUM(I81:I105)</f>
        <v>17267.3765</v>
      </c>
    </row>
    <row r="107" spans="2:9" ht="12.75">
      <c r="B107" s="75">
        <v>9</v>
      </c>
      <c r="C107" s="140"/>
      <c r="D107" s="95" t="s">
        <v>23</v>
      </c>
      <c r="E107" s="120"/>
      <c r="F107" s="121"/>
      <c r="G107" s="80"/>
      <c r="H107" s="80"/>
      <c r="I107" s="81"/>
    </row>
    <row r="108" spans="2:9" ht="22.5">
      <c r="B108" s="146" t="s">
        <v>394</v>
      </c>
      <c r="C108" s="135" t="s">
        <v>351</v>
      </c>
      <c r="D108" s="86" t="s">
        <v>297</v>
      </c>
      <c r="E108" s="122">
        <v>1</v>
      </c>
      <c r="F108" s="123" t="s">
        <v>34</v>
      </c>
      <c r="G108" s="83">
        <v>872.34</v>
      </c>
      <c r="H108" s="83">
        <f aca="true" t="shared" si="12" ref="H108:H127">TRUNC(E108*G108,2)</f>
        <v>872.34</v>
      </c>
      <c r="I108" s="84">
        <f aca="true" t="shared" si="13" ref="I108:I131">H108*1.15</f>
        <v>1003.1909999999999</v>
      </c>
    </row>
    <row r="109" spans="2:9" ht="22.5">
      <c r="B109" s="146" t="s">
        <v>395</v>
      </c>
      <c r="C109" s="133" t="s">
        <v>216</v>
      </c>
      <c r="D109" s="82" t="s">
        <v>100</v>
      </c>
      <c r="E109" s="122">
        <v>1</v>
      </c>
      <c r="F109" s="123" t="s">
        <v>34</v>
      </c>
      <c r="G109" s="83">
        <v>176.02</v>
      </c>
      <c r="H109" s="83">
        <f t="shared" si="12"/>
        <v>176.02</v>
      </c>
      <c r="I109" s="84">
        <f t="shared" si="13"/>
        <v>202.423</v>
      </c>
    </row>
    <row r="110" spans="2:9" ht="22.5">
      <c r="B110" s="146" t="s">
        <v>396</v>
      </c>
      <c r="C110" s="133" t="s">
        <v>217</v>
      </c>
      <c r="D110" s="82" t="s">
        <v>65</v>
      </c>
      <c r="E110" s="122">
        <v>1</v>
      </c>
      <c r="F110" s="123" t="s">
        <v>34</v>
      </c>
      <c r="G110" s="83">
        <v>81.9</v>
      </c>
      <c r="H110" s="83">
        <f t="shared" si="12"/>
        <v>81.9</v>
      </c>
      <c r="I110" s="84">
        <f t="shared" si="13"/>
        <v>94.185</v>
      </c>
    </row>
    <row r="111" spans="2:9" ht="33.75">
      <c r="B111" s="146" t="s">
        <v>397</v>
      </c>
      <c r="C111" s="135" t="s">
        <v>280</v>
      </c>
      <c r="D111" s="86" t="s">
        <v>252</v>
      </c>
      <c r="E111" s="122">
        <v>1</v>
      </c>
      <c r="F111" s="123" t="s">
        <v>34</v>
      </c>
      <c r="G111" s="83">
        <v>270.67</v>
      </c>
      <c r="H111" s="83">
        <f>TRUNC(E111*G111,2)</f>
        <v>270.67</v>
      </c>
      <c r="I111" s="84">
        <f t="shared" si="13"/>
        <v>311.27049999999997</v>
      </c>
    </row>
    <row r="112" spans="2:9" ht="22.5">
      <c r="B112" s="146" t="s">
        <v>398</v>
      </c>
      <c r="C112" s="133" t="s">
        <v>218</v>
      </c>
      <c r="D112" s="82" t="s">
        <v>68</v>
      </c>
      <c r="E112" s="122">
        <f>E113*3</f>
        <v>420</v>
      </c>
      <c r="F112" s="123" t="s">
        <v>33</v>
      </c>
      <c r="G112" s="83">
        <v>7.84</v>
      </c>
      <c r="H112" s="83">
        <f t="shared" si="12"/>
        <v>3292.8</v>
      </c>
      <c r="I112" s="84">
        <f t="shared" si="13"/>
        <v>3786.72</v>
      </c>
    </row>
    <row r="113" spans="2:9" ht="22.5">
      <c r="B113" s="146" t="s">
        <v>399</v>
      </c>
      <c r="C113" s="133" t="s">
        <v>219</v>
      </c>
      <c r="D113" s="82" t="s">
        <v>67</v>
      </c>
      <c r="E113" s="122">
        <v>140</v>
      </c>
      <c r="F113" s="123" t="s">
        <v>33</v>
      </c>
      <c r="G113" s="83">
        <v>9.62</v>
      </c>
      <c r="H113" s="83">
        <f t="shared" si="12"/>
        <v>1346.8</v>
      </c>
      <c r="I113" s="84">
        <f t="shared" si="13"/>
        <v>1548.82</v>
      </c>
    </row>
    <row r="114" spans="2:9" ht="22.5">
      <c r="B114" s="146" t="s">
        <v>400</v>
      </c>
      <c r="C114" s="133" t="s">
        <v>220</v>
      </c>
      <c r="D114" s="82" t="s">
        <v>66</v>
      </c>
      <c r="E114" s="122">
        <v>10</v>
      </c>
      <c r="F114" s="123" t="s">
        <v>34</v>
      </c>
      <c r="G114" s="83">
        <v>56.2</v>
      </c>
      <c r="H114" s="83">
        <f t="shared" si="12"/>
        <v>562</v>
      </c>
      <c r="I114" s="84">
        <f t="shared" si="13"/>
        <v>646.3</v>
      </c>
    </row>
    <row r="115" spans="2:9" ht="22.5">
      <c r="B115" s="146" t="s">
        <v>401</v>
      </c>
      <c r="C115" s="133" t="s">
        <v>221</v>
      </c>
      <c r="D115" s="82" t="s">
        <v>69</v>
      </c>
      <c r="E115" s="122">
        <v>300</v>
      </c>
      <c r="F115" s="123" t="s">
        <v>33</v>
      </c>
      <c r="G115" s="83">
        <v>2.25</v>
      </c>
      <c r="H115" s="83">
        <f t="shared" si="12"/>
        <v>675</v>
      </c>
      <c r="I115" s="84">
        <f t="shared" si="13"/>
        <v>776.2499999999999</v>
      </c>
    </row>
    <row r="116" spans="2:9" ht="22.5">
      <c r="B116" s="146" t="s">
        <v>402</v>
      </c>
      <c r="C116" s="133" t="s">
        <v>222</v>
      </c>
      <c r="D116" s="82" t="s">
        <v>101</v>
      </c>
      <c r="E116" s="122">
        <v>12</v>
      </c>
      <c r="F116" s="123" t="s">
        <v>33</v>
      </c>
      <c r="G116" s="83">
        <v>2.39</v>
      </c>
      <c r="H116" s="83">
        <f t="shared" si="12"/>
        <v>28.68</v>
      </c>
      <c r="I116" s="84">
        <f t="shared" si="13"/>
        <v>32.982</v>
      </c>
    </row>
    <row r="117" spans="2:9" ht="12.75">
      <c r="B117" s="146" t="s">
        <v>403</v>
      </c>
      <c r="C117" s="133" t="s">
        <v>223</v>
      </c>
      <c r="D117" s="82" t="s">
        <v>70</v>
      </c>
      <c r="E117" s="122">
        <v>10</v>
      </c>
      <c r="F117" s="123" t="s">
        <v>33</v>
      </c>
      <c r="G117" s="83">
        <v>9.07</v>
      </c>
      <c r="H117" s="83">
        <f t="shared" si="12"/>
        <v>90.7</v>
      </c>
      <c r="I117" s="84">
        <f t="shared" si="13"/>
        <v>104.30499999999999</v>
      </c>
    </row>
    <row r="118" spans="2:9" ht="12.75">
      <c r="B118" s="146" t="s">
        <v>404</v>
      </c>
      <c r="C118" s="133" t="s">
        <v>224</v>
      </c>
      <c r="D118" s="82" t="s">
        <v>71</v>
      </c>
      <c r="E118" s="122">
        <f>E120+E121+E122+E123+E124+E130</f>
        <v>27</v>
      </c>
      <c r="F118" s="123" t="s">
        <v>34</v>
      </c>
      <c r="G118" s="83">
        <v>8.96</v>
      </c>
      <c r="H118" s="83">
        <f t="shared" si="12"/>
        <v>241.92</v>
      </c>
      <c r="I118" s="84">
        <f t="shared" si="13"/>
        <v>278.20799999999997</v>
      </c>
    </row>
    <row r="119" spans="2:9" ht="22.5">
      <c r="B119" s="146" t="s">
        <v>405</v>
      </c>
      <c r="C119" s="142" t="s">
        <v>279</v>
      </c>
      <c r="D119" s="87" t="s">
        <v>253</v>
      </c>
      <c r="E119" s="122">
        <f>E125+E131</f>
        <v>14</v>
      </c>
      <c r="F119" s="123" t="s">
        <v>34</v>
      </c>
      <c r="G119" s="83">
        <v>12.05</v>
      </c>
      <c r="H119" s="83">
        <f t="shared" si="12"/>
        <v>168.7</v>
      </c>
      <c r="I119" s="84">
        <f t="shared" si="13"/>
        <v>194.00499999999997</v>
      </c>
    </row>
    <row r="120" spans="2:9" ht="12.75">
      <c r="B120" s="146" t="s">
        <v>406</v>
      </c>
      <c r="C120" s="133" t="s">
        <v>225</v>
      </c>
      <c r="D120" s="82" t="s">
        <v>72</v>
      </c>
      <c r="E120" s="122">
        <v>2</v>
      </c>
      <c r="F120" s="123" t="s">
        <v>102</v>
      </c>
      <c r="G120" s="83">
        <v>13.9</v>
      </c>
      <c r="H120" s="83">
        <f t="shared" si="12"/>
        <v>27.8</v>
      </c>
      <c r="I120" s="84">
        <f t="shared" si="13"/>
        <v>31.97</v>
      </c>
    </row>
    <row r="121" spans="2:9" ht="12.75">
      <c r="B121" s="146" t="s">
        <v>407</v>
      </c>
      <c r="C121" s="133" t="s">
        <v>226</v>
      </c>
      <c r="D121" s="82" t="s">
        <v>73</v>
      </c>
      <c r="E121" s="122">
        <v>2</v>
      </c>
      <c r="F121" s="123" t="s">
        <v>102</v>
      </c>
      <c r="G121" s="83">
        <v>18.38</v>
      </c>
      <c r="H121" s="83">
        <f t="shared" si="12"/>
        <v>36.76</v>
      </c>
      <c r="I121" s="84">
        <f t="shared" si="13"/>
        <v>42.273999999999994</v>
      </c>
    </row>
    <row r="122" spans="2:9" ht="12.75">
      <c r="B122" s="146" t="s">
        <v>408</v>
      </c>
      <c r="C122" s="133" t="s">
        <v>227</v>
      </c>
      <c r="D122" s="82" t="s">
        <v>74</v>
      </c>
      <c r="E122" s="122">
        <v>2</v>
      </c>
      <c r="F122" s="123" t="s">
        <v>102</v>
      </c>
      <c r="G122" s="83">
        <v>26.42</v>
      </c>
      <c r="H122" s="83">
        <f t="shared" si="12"/>
        <v>52.84</v>
      </c>
      <c r="I122" s="84">
        <f t="shared" si="13"/>
        <v>60.766</v>
      </c>
    </row>
    <row r="123" spans="2:9" ht="12.75">
      <c r="B123" s="146" t="s">
        <v>409</v>
      </c>
      <c r="C123" s="123" t="s">
        <v>278</v>
      </c>
      <c r="D123" s="82" t="s">
        <v>254</v>
      </c>
      <c r="E123" s="122">
        <v>15</v>
      </c>
      <c r="F123" s="123" t="s">
        <v>102</v>
      </c>
      <c r="G123" s="83">
        <v>16.68</v>
      </c>
      <c r="H123" s="83">
        <f t="shared" si="12"/>
        <v>250.2</v>
      </c>
      <c r="I123" s="84">
        <f t="shared" si="13"/>
        <v>287.72999999999996</v>
      </c>
    </row>
    <row r="124" spans="2:9" ht="30" customHeight="1">
      <c r="B124" s="146" t="s">
        <v>410</v>
      </c>
      <c r="C124" s="133" t="s">
        <v>228</v>
      </c>
      <c r="D124" s="82" t="s">
        <v>75</v>
      </c>
      <c r="E124" s="122">
        <v>1</v>
      </c>
      <c r="F124" s="123" t="s">
        <v>102</v>
      </c>
      <c r="G124" s="83">
        <v>17.32</v>
      </c>
      <c r="H124" s="83">
        <f t="shared" si="12"/>
        <v>17.32</v>
      </c>
      <c r="I124" s="84">
        <f t="shared" si="13"/>
        <v>19.918</v>
      </c>
    </row>
    <row r="125" spans="2:9" ht="33.75">
      <c r="B125" s="146" t="s">
        <v>411</v>
      </c>
      <c r="C125" s="123" t="s">
        <v>277</v>
      </c>
      <c r="D125" s="82" t="s">
        <v>255</v>
      </c>
      <c r="E125" s="122">
        <v>13</v>
      </c>
      <c r="F125" s="123" t="s">
        <v>34</v>
      </c>
      <c r="G125" s="83">
        <v>163.77</v>
      </c>
      <c r="H125" s="83">
        <f t="shared" si="12"/>
        <v>2129.01</v>
      </c>
      <c r="I125" s="84">
        <f t="shared" si="13"/>
        <v>2448.3615</v>
      </c>
    </row>
    <row r="126" spans="2:9" ht="45">
      <c r="B126" s="146" t="s">
        <v>412</v>
      </c>
      <c r="C126" s="143" t="s">
        <v>276</v>
      </c>
      <c r="D126" s="85" t="s">
        <v>256</v>
      </c>
      <c r="E126" s="122">
        <v>13</v>
      </c>
      <c r="F126" s="123" t="s">
        <v>34</v>
      </c>
      <c r="G126" s="83">
        <v>22.12</v>
      </c>
      <c r="H126" s="83">
        <f t="shared" si="12"/>
        <v>287.56</v>
      </c>
      <c r="I126" s="84">
        <f t="shared" si="13"/>
        <v>330.69399999999996</v>
      </c>
    </row>
    <row r="127" spans="2:9" ht="22.5">
      <c r="B127" s="146" t="s">
        <v>413</v>
      </c>
      <c r="C127" s="123" t="s">
        <v>275</v>
      </c>
      <c r="D127" s="82" t="s">
        <v>257</v>
      </c>
      <c r="E127" s="122">
        <v>26</v>
      </c>
      <c r="F127" s="123" t="s">
        <v>34</v>
      </c>
      <c r="G127" s="83">
        <v>6.16</v>
      </c>
      <c r="H127" s="83">
        <f t="shared" si="12"/>
        <v>160.16</v>
      </c>
      <c r="I127" s="84">
        <f t="shared" si="13"/>
        <v>184.18399999999997</v>
      </c>
    </row>
    <row r="128" spans="2:9" ht="22.5">
      <c r="B128" s="146" t="s">
        <v>414</v>
      </c>
      <c r="C128" s="135" t="s">
        <v>350</v>
      </c>
      <c r="D128" s="86" t="s">
        <v>300</v>
      </c>
      <c r="E128" s="126">
        <v>6</v>
      </c>
      <c r="F128" s="123" t="s">
        <v>34</v>
      </c>
      <c r="G128" s="97">
        <v>9.09</v>
      </c>
      <c r="H128" s="83">
        <f>TRUNC(E128*G128,2)</f>
        <v>54.54</v>
      </c>
      <c r="I128" s="84">
        <f t="shared" si="13"/>
        <v>62.721</v>
      </c>
    </row>
    <row r="129" spans="2:9" ht="45">
      <c r="B129" s="148" t="s">
        <v>415</v>
      </c>
      <c r="C129" s="135" t="s">
        <v>349</v>
      </c>
      <c r="D129" s="86" t="s">
        <v>301</v>
      </c>
      <c r="E129" s="126">
        <v>6</v>
      </c>
      <c r="F129" s="123" t="s">
        <v>34</v>
      </c>
      <c r="G129" s="97">
        <v>17.75</v>
      </c>
      <c r="H129" s="83">
        <f>TRUNC(E129*G129,2)</f>
        <v>106.5</v>
      </c>
      <c r="I129" s="84">
        <f t="shared" si="13"/>
        <v>122.475</v>
      </c>
    </row>
    <row r="130" spans="2:9" ht="33.75">
      <c r="B130" s="148" t="s">
        <v>416</v>
      </c>
      <c r="C130" s="135" t="s">
        <v>348</v>
      </c>
      <c r="D130" s="86" t="s">
        <v>298</v>
      </c>
      <c r="E130" s="126">
        <v>5</v>
      </c>
      <c r="F130" s="123" t="s">
        <v>34</v>
      </c>
      <c r="G130" s="97">
        <v>76.23</v>
      </c>
      <c r="H130" s="83">
        <f>TRUNC(E130*G130,2)</f>
        <v>381.15</v>
      </c>
      <c r="I130" s="84">
        <f t="shared" si="13"/>
        <v>438.32249999999993</v>
      </c>
    </row>
    <row r="131" spans="2:9" ht="22.5">
      <c r="B131" s="148" t="s">
        <v>417</v>
      </c>
      <c r="C131" s="135" t="s">
        <v>347</v>
      </c>
      <c r="D131" s="86" t="s">
        <v>299</v>
      </c>
      <c r="E131" s="126">
        <v>1</v>
      </c>
      <c r="F131" s="123" t="s">
        <v>34</v>
      </c>
      <c r="G131" s="97">
        <v>73.7</v>
      </c>
      <c r="H131" s="83">
        <f>TRUNC(E131*G131,2)</f>
        <v>73.7</v>
      </c>
      <c r="I131" s="84">
        <f t="shared" si="13"/>
        <v>84.755</v>
      </c>
    </row>
    <row r="132" spans="2:9" ht="12.75" customHeight="1" thickBot="1">
      <c r="B132" s="88"/>
      <c r="C132" s="139"/>
      <c r="D132" s="94" t="s">
        <v>6</v>
      </c>
      <c r="E132" s="124"/>
      <c r="F132" s="125"/>
      <c r="G132" s="90"/>
      <c r="H132" s="90">
        <f>SUM(H108:H131)</f>
        <v>11385.070000000002</v>
      </c>
      <c r="I132" s="90">
        <f>SUM(I108:I131)</f>
        <v>13092.830499999995</v>
      </c>
    </row>
    <row r="133" spans="2:9" ht="12.75">
      <c r="B133" s="75">
        <v>10</v>
      </c>
      <c r="C133" s="132"/>
      <c r="D133" s="76" t="s">
        <v>38</v>
      </c>
      <c r="E133" s="120"/>
      <c r="F133" s="121"/>
      <c r="G133" s="80"/>
      <c r="H133" s="80"/>
      <c r="I133" s="81"/>
    </row>
    <row r="134" spans="2:9" ht="22.5">
      <c r="B134" s="146" t="s">
        <v>152</v>
      </c>
      <c r="C134" s="123" t="s">
        <v>274</v>
      </c>
      <c r="D134" s="82" t="s">
        <v>258</v>
      </c>
      <c r="E134" s="122">
        <v>2</v>
      </c>
      <c r="F134" s="123" t="s">
        <v>34</v>
      </c>
      <c r="G134" s="83">
        <v>771.9</v>
      </c>
      <c r="H134" s="83">
        <f>TRUNC(E134*G134,2)</f>
        <v>1543.8</v>
      </c>
      <c r="I134" s="84">
        <f>H134*1.15</f>
        <v>1775.37</v>
      </c>
    </row>
    <row r="135" spans="2:9" ht="22.5">
      <c r="B135" s="146" t="s">
        <v>153</v>
      </c>
      <c r="C135" s="123" t="s">
        <v>273</v>
      </c>
      <c r="D135" s="82" t="s">
        <v>260</v>
      </c>
      <c r="E135" s="122">
        <v>3</v>
      </c>
      <c r="F135" s="123" t="s">
        <v>34</v>
      </c>
      <c r="G135" s="83">
        <v>139.22</v>
      </c>
      <c r="H135" s="83">
        <f>TRUNC(E135*G135,2)</f>
        <v>417.66</v>
      </c>
      <c r="I135" s="84">
        <f>H135*1.15</f>
        <v>480.30899999999997</v>
      </c>
    </row>
    <row r="136" spans="2:9" ht="13.5" thickBot="1">
      <c r="B136" s="88"/>
      <c r="C136" s="137"/>
      <c r="D136" s="89" t="s">
        <v>6</v>
      </c>
      <c r="E136" s="124"/>
      <c r="F136" s="125"/>
      <c r="G136" s="90"/>
      <c r="H136" s="90">
        <f>SUM(H134:H135)</f>
        <v>1961.46</v>
      </c>
      <c r="I136" s="90">
        <f>SUM(I134:I135)</f>
        <v>2255.679</v>
      </c>
    </row>
    <row r="137" spans="2:9" ht="22.5">
      <c r="B137" s="75">
        <v>11</v>
      </c>
      <c r="C137" s="140"/>
      <c r="D137" s="95" t="s">
        <v>309</v>
      </c>
      <c r="E137" s="120"/>
      <c r="F137" s="121"/>
      <c r="G137" s="80"/>
      <c r="H137" s="80"/>
      <c r="I137" s="81"/>
    </row>
    <row r="138" spans="2:9" ht="12.75">
      <c r="B138" s="146" t="s">
        <v>154</v>
      </c>
      <c r="C138" s="135" t="s">
        <v>346</v>
      </c>
      <c r="D138" s="86" t="s">
        <v>302</v>
      </c>
      <c r="E138" s="122">
        <v>4.2</v>
      </c>
      <c r="F138" s="123" t="s">
        <v>52</v>
      </c>
      <c r="G138" s="83">
        <v>158.23</v>
      </c>
      <c r="H138" s="83">
        <f aca="true" t="shared" si="14" ref="H138:H143">TRUNC(E138*G138,2)</f>
        <v>664.56</v>
      </c>
      <c r="I138" s="84">
        <f aca="true" t="shared" si="15" ref="I138:I144">H138*1.15</f>
        <v>764.2439999999999</v>
      </c>
    </row>
    <row r="139" spans="2:9" ht="12.75">
      <c r="B139" s="146" t="s">
        <v>155</v>
      </c>
      <c r="C139" s="135" t="s">
        <v>345</v>
      </c>
      <c r="D139" s="86" t="s">
        <v>303</v>
      </c>
      <c r="E139" s="122">
        <v>29.4</v>
      </c>
      <c r="F139" s="123" t="s">
        <v>52</v>
      </c>
      <c r="G139" s="83">
        <v>214.61</v>
      </c>
      <c r="H139" s="83">
        <f t="shared" si="14"/>
        <v>6309.53</v>
      </c>
      <c r="I139" s="84">
        <f t="shared" si="15"/>
        <v>7255.959499999999</v>
      </c>
    </row>
    <row r="140" spans="2:9" s="98" customFormat="1" ht="22.5">
      <c r="B140" s="146" t="s">
        <v>156</v>
      </c>
      <c r="C140" s="135" t="s">
        <v>344</v>
      </c>
      <c r="D140" s="86" t="s">
        <v>306</v>
      </c>
      <c r="E140" s="122">
        <v>13</v>
      </c>
      <c r="F140" s="123" t="s">
        <v>34</v>
      </c>
      <c r="G140" s="83">
        <v>103.95</v>
      </c>
      <c r="H140" s="83">
        <f t="shared" si="14"/>
        <v>1351.35</v>
      </c>
      <c r="I140" s="84">
        <f t="shared" si="15"/>
        <v>1554.0524999999998</v>
      </c>
    </row>
    <row r="141" spans="2:9" s="98" customFormat="1" ht="12.75">
      <c r="B141" s="146" t="s">
        <v>157</v>
      </c>
      <c r="C141" s="135" t="s">
        <v>343</v>
      </c>
      <c r="D141" s="86" t="s">
        <v>310</v>
      </c>
      <c r="E141" s="122">
        <f>0.8*2.1*2+0.7*2.1</f>
        <v>4.83</v>
      </c>
      <c r="F141" s="123" t="s">
        <v>52</v>
      </c>
      <c r="G141" s="83">
        <v>727.97</v>
      </c>
      <c r="H141" s="83">
        <f>TRUNC(E141*G141,2)</f>
        <v>3516.09</v>
      </c>
      <c r="I141" s="84">
        <f t="shared" si="15"/>
        <v>4043.5035</v>
      </c>
    </row>
    <row r="142" spans="2:9" s="98" customFormat="1" ht="22.5">
      <c r="B142" s="146" t="s">
        <v>158</v>
      </c>
      <c r="C142" s="135" t="s">
        <v>342</v>
      </c>
      <c r="D142" s="86" t="s">
        <v>305</v>
      </c>
      <c r="E142" s="122">
        <v>4</v>
      </c>
      <c r="F142" s="123" t="s">
        <v>34</v>
      </c>
      <c r="G142" s="83">
        <v>115.86</v>
      </c>
      <c r="H142" s="83">
        <f>TRUNC(E142*G142,2)</f>
        <v>463.44</v>
      </c>
      <c r="I142" s="84">
        <f t="shared" si="15"/>
        <v>532.9559999999999</v>
      </c>
    </row>
    <row r="143" spans="2:9" ht="22.5">
      <c r="B143" s="146" t="s">
        <v>418</v>
      </c>
      <c r="C143" s="135" t="s">
        <v>341</v>
      </c>
      <c r="D143" s="86" t="s">
        <v>304</v>
      </c>
      <c r="E143" s="122">
        <f>4.5*1.8+1.5*1*2</f>
        <v>11.1</v>
      </c>
      <c r="F143" s="123" t="s">
        <v>52</v>
      </c>
      <c r="G143" s="83">
        <v>332.91</v>
      </c>
      <c r="H143" s="83">
        <f t="shared" si="14"/>
        <v>3695.3</v>
      </c>
      <c r="I143" s="84">
        <f t="shared" si="15"/>
        <v>4249.595</v>
      </c>
    </row>
    <row r="144" spans="2:9" ht="22.5">
      <c r="B144" s="146" t="s">
        <v>419</v>
      </c>
      <c r="C144" s="123" t="s">
        <v>272</v>
      </c>
      <c r="D144" s="82" t="s">
        <v>259</v>
      </c>
      <c r="E144" s="122">
        <v>3.3</v>
      </c>
      <c r="F144" s="123" t="s">
        <v>33</v>
      </c>
      <c r="G144" s="83">
        <v>120.68</v>
      </c>
      <c r="H144" s="83">
        <f>TRUNC(E144*G144,2)</f>
        <v>398.24</v>
      </c>
      <c r="I144" s="84">
        <f t="shared" si="15"/>
        <v>457.976</v>
      </c>
    </row>
    <row r="145" spans="2:9" ht="13.5" thickBot="1">
      <c r="B145" s="147"/>
      <c r="C145" s="139"/>
      <c r="D145" s="94" t="s">
        <v>6</v>
      </c>
      <c r="E145" s="124"/>
      <c r="F145" s="125"/>
      <c r="G145" s="90"/>
      <c r="H145" s="91">
        <f>SUM(H138:H144)</f>
        <v>16398.510000000002</v>
      </c>
      <c r="I145" s="91">
        <f>SUM(I138:I144)</f>
        <v>18858.286499999995</v>
      </c>
    </row>
    <row r="146" spans="2:9" ht="12.75">
      <c r="B146" s="75">
        <v>12</v>
      </c>
      <c r="C146" s="132"/>
      <c r="D146" s="76" t="s">
        <v>25</v>
      </c>
      <c r="E146" s="120"/>
      <c r="F146" s="121"/>
      <c r="G146" s="80"/>
      <c r="H146" s="80"/>
      <c r="I146" s="81"/>
    </row>
    <row r="147" spans="2:9" ht="12.75">
      <c r="B147" s="146" t="s">
        <v>159</v>
      </c>
      <c r="C147" s="133" t="s">
        <v>190</v>
      </c>
      <c r="D147" s="82" t="s">
        <v>24</v>
      </c>
      <c r="E147" s="122">
        <f>(30.3*5.15+8.1*2.15+24*4.27-3.6-3.6-4.8-4.8-4.2+44.4*0.2)+127.04+((37.2*2.88-4.8-4.8-4.2-4.2+12.4*0.2)+(18.6*2.6-2*2.1*3-2.8*2.1+6.2*0.2)+(12.8*2.6-2.8*2.1+7*0.2)+2*(12.1*2.6))</f>
        <v>605.316</v>
      </c>
      <c r="F147" s="123" t="s">
        <v>52</v>
      </c>
      <c r="G147" s="83">
        <v>4.11</v>
      </c>
      <c r="H147" s="83">
        <f>TRUNC(E147*G147,2)</f>
        <v>2487.84</v>
      </c>
      <c r="I147" s="84">
        <f>H147*1.15</f>
        <v>2861.016</v>
      </c>
    </row>
    <row r="148" spans="2:9" ht="12.75">
      <c r="B148" s="146" t="s">
        <v>160</v>
      </c>
      <c r="C148" s="133" t="s">
        <v>229</v>
      </c>
      <c r="D148" s="82" t="s">
        <v>76</v>
      </c>
      <c r="E148" s="122">
        <f>E150</f>
        <v>55.8</v>
      </c>
      <c r="F148" s="123" t="s">
        <v>52</v>
      </c>
      <c r="G148" s="83">
        <v>12.22</v>
      </c>
      <c r="H148" s="83">
        <f>TRUNC(E148*G148,2)</f>
        <v>681.87</v>
      </c>
      <c r="I148" s="84">
        <f>H148*1.15</f>
        <v>784.1505</v>
      </c>
    </row>
    <row r="149" spans="2:9" ht="12.75">
      <c r="B149" s="146" t="s">
        <v>420</v>
      </c>
      <c r="C149" s="133" t="s">
        <v>230</v>
      </c>
      <c r="D149" s="82" t="s">
        <v>92</v>
      </c>
      <c r="E149" s="122">
        <f>E147-E148</f>
        <v>549.5160000000001</v>
      </c>
      <c r="F149" s="123" t="s">
        <v>52</v>
      </c>
      <c r="G149" s="83">
        <v>14.96</v>
      </c>
      <c r="H149" s="83">
        <f>TRUNC(E149*G149,2)</f>
        <v>8220.75</v>
      </c>
      <c r="I149" s="84">
        <f>H149*1.15</f>
        <v>9453.8625</v>
      </c>
    </row>
    <row r="150" spans="2:9" ht="33.75">
      <c r="B150" s="146" t="s">
        <v>161</v>
      </c>
      <c r="C150" s="133" t="s">
        <v>231</v>
      </c>
      <c r="D150" s="82" t="s">
        <v>77</v>
      </c>
      <c r="E150" s="122">
        <f>2*((12.1-0.9)*2)+3.7*2+1.8*2</f>
        <v>55.8</v>
      </c>
      <c r="F150" s="123" t="s">
        <v>52</v>
      </c>
      <c r="G150" s="83">
        <v>37.37</v>
      </c>
      <c r="H150" s="83">
        <f>TRUNC(E150*G150,2)</f>
        <v>2085.24</v>
      </c>
      <c r="I150" s="84">
        <f>H150*1.15</f>
        <v>2398.0259999999994</v>
      </c>
    </row>
    <row r="151" spans="2:9" ht="33.75">
      <c r="B151" s="146" t="s">
        <v>162</v>
      </c>
      <c r="C151" s="133" t="s">
        <v>232</v>
      </c>
      <c r="D151" s="82" t="s">
        <v>99</v>
      </c>
      <c r="E151" s="122">
        <f>E150</f>
        <v>55.8</v>
      </c>
      <c r="F151" s="123" t="s">
        <v>52</v>
      </c>
      <c r="G151" s="83">
        <v>6.73</v>
      </c>
      <c r="H151" s="83">
        <f>TRUNC(E151*G151,2)</f>
        <v>375.53</v>
      </c>
      <c r="I151" s="84">
        <f>H151*1.15</f>
        <v>431.8594999999999</v>
      </c>
    </row>
    <row r="152" spans="2:9" ht="13.5" thickBot="1">
      <c r="B152" s="88"/>
      <c r="C152" s="137"/>
      <c r="D152" s="89" t="s">
        <v>6</v>
      </c>
      <c r="E152" s="124"/>
      <c r="F152" s="125"/>
      <c r="G152" s="90"/>
      <c r="H152" s="90">
        <f>SUM(H147:H151)</f>
        <v>13851.23</v>
      </c>
      <c r="I152" s="91">
        <f>SUM(I147:I151)</f>
        <v>15928.914499999999</v>
      </c>
    </row>
    <row r="153" spans="2:9" ht="12.75">
      <c r="B153" s="75">
        <v>13</v>
      </c>
      <c r="C153" s="132"/>
      <c r="D153" s="76" t="s">
        <v>26</v>
      </c>
      <c r="E153" s="120"/>
      <c r="F153" s="121"/>
      <c r="G153" s="80"/>
      <c r="H153" s="80"/>
      <c r="I153" s="81"/>
    </row>
    <row r="154" spans="2:9" ht="22.5">
      <c r="B154" s="146" t="s">
        <v>163</v>
      </c>
      <c r="C154" s="133" t="s">
        <v>184</v>
      </c>
      <c r="D154" s="82" t="s">
        <v>50</v>
      </c>
      <c r="E154" s="122">
        <f>128.47*0.05</f>
        <v>6.423500000000001</v>
      </c>
      <c r="F154" s="123" t="s">
        <v>78</v>
      </c>
      <c r="G154" s="83">
        <v>101.33</v>
      </c>
      <c r="H154" s="83">
        <f>TRUNC(E154*G154,2)</f>
        <v>650.89</v>
      </c>
      <c r="I154" s="84">
        <f>H154*1.15</f>
        <v>748.5234999999999</v>
      </c>
    </row>
    <row r="155" spans="2:9" ht="12.75">
      <c r="B155" s="146" t="s">
        <v>164</v>
      </c>
      <c r="C155" s="134" t="s">
        <v>233</v>
      </c>
      <c r="D155" s="85" t="s">
        <v>79</v>
      </c>
      <c r="E155" s="122">
        <f>128.47*0.07</f>
        <v>8.9929</v>
      </c>
      <c r="F155" s="123" t="s">
        <v>78</v>
      </c>
      <c r="G155" s="83">
        <v>409.46</v>
      </c>
      <c r="H155" s="83">
        <f>TRUNC(E155*G155,2)</f>
        <v>3682.23</v>
      </c>
      <c r="I155" s="84">
        <f>H155*1.15</f>
        <v>4234.5644999999995</v>
      </c>
    </row>
    <row r="156" spans="2:9" ht="45">
      <c r="B156" s="146" t="s">
        <v>165</v>
      </c>
      <c r="C156" s="135" t="s">
        <v>340</v>
      </c>
      <c r="D156" s="86" t="s">
        <v>317</v>
      </c>
      <c r="E156" s="122">
        <v>128.47</v>
      </c>
      <c r="F156" s="123" t="s">
        <v>52</v>
      </c>
      <c r="G156" s="83">
        <v>34.06</v>
      </c>
      <c r="H156" s="83">
        <f>TRUNC(E156*G156,2)</f>
        <v>4375.68</v>
      </c>
      <c r="I156" s="84">
        <f>H156*1.15</f>
        <v>5032.032</v>
      </c>
    </row>
    <row r="157" spans="2:9" ht="45">
      <c r="B157" s="146" t="s">
        <v>421</v>
      </c>
      <c r="C157" s="135" t="s">
        <v>339</v>
      </c>
      <c r="D157" s="86" t="s">
        <v>318</v>
      </c>
      <c r="E157" s="122">
        <v>76.05</v>
      </c>
      <c r="F157" s="123" t="s">
        <v>33</v>
      </c>
      <c r="G157" s="83">
        <v>14.55</v>
      </c>
      <c r="H157" s="83">
        <f>TRUNC(E157*G157,2)</f>
        <v>1106.52</v>
      </c>
      <c r="I157" s="84">
        <f>H157*1.15</f>
        <v>1272.4979999999998</v>
      </c>
    </row>
    <row r="158" spans="2:9" ht="12.75">
      <c r="B158" s="146" t="s">
        <v>422</v>
      </c>
      <c r="C158" s="142" t="s">
        <v>271</v>
      </c>
      <c r="D158" s="87" t="s">
        <v>264</v>
      </c>
      <c r="E158" s="122">
        <f>58.72+37.63</f>
        <v>96.35</v>
      </c>
      <c r="F158" s="123" t="s">
        <v>52</v>
      </c>
      <c r="G158" s="83">
        <v>19.64</v>
      </c>
      <c r="H158" s="83">
        <f>TRUNC(E158*G158,2)</f>
        <v>1892.31</v>
      </c>
      <c r="I158" s="84">
        <f>H158*1.15</f>
        <v>2176.1564999999996</v>
      </c>
    </row>
    <row r="159" spans="2:9" ht="13.5" thickBot="1">
      <c r="B159" s="88"/>
      <c r="C159" s="137"/>
      <c r="D159" s="89" t="s">
        <v>6</v>
      </c>
      <c r="E159" s="124"/>
      <c r="F159" s="125"/>
      <c r="G159" s="90"/>
      <c r="H159" s="90">
        <f>SUM(H154:H158)</f>
        <v>11707.63</v>
      </c>
      <c r="I159" s="91">
        <f>SUM(I154:I158)</f>
        <v>13463.774499999998</v>
      </c>
    </row>
    <row r="160" spans="2:9" ht="12.75">
      <c r="B160" s="149">
        <v>14</v>
      </c>
      <c r="C160" s="132"/>
      <c r="D160" s="99" t="s">
        <v>90</v>
      </c>
      <c r="E160" s="127"/>
      <c r="F160" s="128"/>
      <c r="G160" s="100"/>
      <c r="H160" s="100"/>
      <c r="I160" s="101"/>
    </row>
    <row r="161" spans="2:9" ht="12.75">
      <c r="B161" s="146" t="s">
        <v>166</v>
      </c>
      <c r="C161" s="133" t="s">
        <v>234</v>
      </c>
      <c r="D161" s="82" t="s">
        <v>320</v>
      </c>
      <c r="E161" s="122">
        <v>2</v>
      </c>
      <c r="F161" s="123" t="s">
        <v>33</v>
      </c>
      <c r="G161" s="83">
        <v>123.76</v>
      </c>
      <c r="H161" s="83">
        <f>TRUNC(E161*G161,2)</f>
        <v>247.52</v>
      </c>
      <c r="I161" s="84">
        <f>H161*1.15</f>
        <v>284.64799999999997</v>
      </c>
    </row>
    <row r="162" spans="2:9" ht="12.75">
      <c r="B162" s="146" t="s">
        <v>167</v>
      </c>
      <c r="C162" s="133" t="s">
        <v>234</v>
      </c>
      <c r="D162" s="82" t="s">
        <v>319</v>
      </c>
      <c r="E162" s="122">
        <v>21</v>
      </c>
      <c r="F162" s="123" t="s">
        <v>33</v>
      </c>
      <c r="G162" s="83">
        <v>123.76</v>
      </c>
      <c r="H162" s="83">
        <f>TRUNC(E162*G162,2)</f>
        <v>2598.96</v>
      </c>
      <c r="I162" s="84">
        <f>H162*1.15</f>
        <v>2988.8039999999996</v>
      </c>
    </row>
    <row r="163" spans="2:9" ht="22.5">
      <c r="B163" s="146" t="s">
        <v>423</v>
      </c>
      <c r="C163" s="123" t="s">
        <v>270</v>
      </c>
      <c r="D163" s="82" t="s">
        <v>261</v>
      </c>
      <c r="E163" s="122">
        <f>1.75*0.6+1.75*0.75+1.3</f>
        <v>3.6624999999999996</v>
      </c>
      <c r="F163" s="123" t="s">
        <v>52</v>
      </c>
      <c r="G163" s="83">
        <v>463.1</v>
      </c>
      <c r="H163" s="83">
        <f>TRUNC(E163*G163,2)</f>
        <v>1696.1</v>
      </c>
      <c r="I163" s="84">
        <f>H163*1.15</f>
        <v>1950.5149999999996</v>
      </c>
    </row>
    <row r="164" spans="2:9" ht="13.5" thickBot="1">
      <c r="B164" s="88"/>
      <c r="C164" s="137"/>
      <c r="D164" s="89" t="s">
        <v>6</v>
      </c>
      <c r="E164" s="124"/>
      <c r="F164" s="125"/>
      <c r="G164" s="90"/>
      <c r="H164" s="90">
        <f>SUM(H161:H163)</f>
        <v>4542.58</v>
      </c>
      <c r="I164" s="91">
        <f>SUM(I161:I163)</f>
        <v>5223.967</v>
      </c>
    </row>
    <row r="165" spans="2:9" ht="12.75">
      <c r="B165" s="75">
        <v>15</v>
      </c>
      <c r="C165" s="132"/>
      <c r="D165" s="76" t="s">
        <v>27</v>
      </c>
      <c r="E165" s="120"/>
      <c r="F165" s="121"/>
      <c r="G165" s="80"/>
      <c r="H165" s="80"/>
      <c r="I165" s="81"/>
    </row>
    <row r="166" spans="2:9" ht="12.75">
      <c r="B166" s="146" t="s">
        <v>424</v>
      </c>
      <c r="C166" s="133" t="s">
        <v>235</v>
      </c>
      <c r="D166" s="82" t="s">
        <v>178</v>
      </c>
      <c r="E166" s="122">
        <f>(30.3*5.15+8.1*2.15+24*4.27-3.6-3.6-4.8-4.8-4.2+44.4*0.2)</f>
        <v>263.81999999999994</v>
      </c>
      <c r="F166" s="123" t="s">
        <v>52</v>
      </c>
      <c r="G166" s="83">
        <v>15.71</v>
      </c>
      <c r="H166" s="83">
        <f>TRUNC(E166*G166,2)</f>
        <v>4144.61</v>
      </c>
      <c r="I166" s="84">
        <f>H166*1.15</f>
        <v>4766.3015</v>
      </c>
    </row>
    <row r="167" spans="2:9" ht="12.75">
      <c r="B167" s="146" t="s">
        <v>425</v>
      </c>
      <c r="C167" s="133" t="s">
        <v>236</v>
      </c>
      <c r="D167" s="82" t="s">
        <v>177</v>
      </c>
      <c r="E167" s="122">
        <f>127.04+((37.2*2.88-4.8-4.8-4.2-4.2+12.4*0.2)+(18.6*2.6-2*2.1*3-2.8*2.1+6.2*0.2)+(12.8*2.6-2.8*2.1+7*0.2)+2*(12.1*2.6))-E150</f>
        <v>285.696</v>
      </c>
      <c r="F167" s="123" t="s">
        <v>52</v>
      </c>
      <c r="G167" s="83">
        <v>15.2</v>
      </c>
      <c r="H167" s="83">
        <f>TRUNC(E167*G167,2)</f>
        <v>4342.57</v>
      </c>
      <c r="I167" s="84">
        <f>H167*1.15</f>
        <v>4993.955499999999</v>
      </c>
    </row>
    <row r="168" spans="2:9" ht="12.75">
      <c r="B168" s="146" t="s">
        <v>168</v>
      </c>
      <c r="C168" s="133" t="s">
        <v>237</v>
      </c>
      <c r="D168" s="82" t="s">
        <v>179</v>
      </c>
      <c r="E168" s="122">
        <f>E141*3</f>
        <v>14.49</v>
      </c>
      <c r="F168" s="123" t="s">
        <v>52</v>
      </c>
      <c r="G168" s="83">
        <v>23.56</v>
      </c>
      <c r="H168" s="83">
        <f>TRUNC(E168*G168,2)</f>
        <v>341.38</v>
      </c>
      <c r="I168" s="84">
        <f>H168*1.15</f>
        <v>392.587</v>
      </c>
    </row>
    <row r="169" spans="2:9" ht="12.75">
      <c r="B169" s="146" t="s">
        <v>169</v>
      </c>
      <c r="C169" s="133" t="s">
        <v>237</v>
      </c>
      <c r="D169" s="82" t="s">
        <v>245</v>
      </c>
      <c r="E169" s="122">
        <f>(0.9+2.9)*2</f>
        <v>7.6</v>
      </c>
      <c r="F169" s="123" t="s">
        <v>52</v>
      </c>
      <c r="G169" s="102">
        <v>23.56</v>
      </c>
      <c r="H169" s="83">
        <f>TRUNC(E169*G169,2)</f>
        <v>179.05</v>
      </c>
      <c r="I169" s="84">
        <f>H169*1.15</f>
        <v>205.9075</v>
      </c>
    </row>
    <row r="170" spans="2:9" ht="33.75">
      <c r="B170" s="146" t="s">
        <v>170</v>
      </c>
      <c r="C170" s="123" t="s">
        <v>321</v>
      </c>
      <c r="D170" s="82" t="s">
        <v>265</v>
      </c>
      <c r="E170" s="122">
        <v>2</v>
      </c>
      <c r="F170" s="123" t="s">
        <v>34</v>
      </c>
      <c r="G170" s="102">
        <v>11.33</v>
      </c>
      <c r="H170" s="83">
        <f>TRUNC(E170*G170,2)</f>
        <v>22.66</v>
      </c>
      <c r="I170" s="84">
        <f>H170*1.15</f>
        <v>26.058999999999997</v>
      </c>
    </row>
    <row r="171" spans="2:9" ht="13.5" thickBot="1">
      <c r="B171" s="88"/>
      <c r="C171" s="137"/>
      <c r="D171" s="89" t="s">
        <v>6</v>
      </c>
      <c r="E171" s="124"/>
      <c r="F171" s="125"/>
      <c r="G171" s="90"/>
      <c r="H171" s="90">
        <f>SUM(H166:H170)</f>
        <v>9030.269999999999</v>
      </c>
      <c r="I171" s="91">
        <f>SUM(I166:I170)</f>
        <v>10384.810499999996</v>
      </c>
    </row>
    <row r="172" spans="2:9" ht="12.75">
      <c r="B172" s="150">
        <v>16</v>
      </c>
      <c r="C172" s="144"/>
      <c r="D172" s="76" t="s">
        <v>28</v>
      </c>
      <c r="E172" s="120"/>
      <c r="F172" s="121"/>
      <c r="G172" s="80"/>
      <c r="H172" s="80"/>
      <c r="I172" s="81"/>
    </row>
    <row r="173" spans="2:9" ht="22.5">
      <c r="B173" s="146" t="s">
        <v>171</v>
      </c>
      <c r="C173" s="133" t="s">
        <v>238</v>
      </c>
      <c r="D173" s="82" t="s">
        <v>63</v>
      </c>
      <c r="E173" s="122">
        <v>4</v>
      </c>
      <c r="F173" s="123" t="s">
        <v>34</v>
      </c>
      <c r="G173" s="83">
        <v>37.56</v>
      </c>
      <c r="H173" s="83">
        <f aca="true" t="shared" si="16" ref="H173:H181">TRUNC(E173*G173,2)</f>
        <v>150.24</v>
      </c>
      <c r="I173" s="84">
        <f aca="true" t="shared" si="17" ref="I173:I181">H173*1.15</f>
        <v>172.776</v>
      </c>
    </row>
    <row r="174" spans="2:9" ht="12.75">
      <c r="B174" s="146" t="s">
        <v>426</v>
      </c>
      <c r="C174" s="133" t="s">
        <v>239</v>
      </c>
      <c r="D174" s="82" t="s">
        <v>64</v>
      </c>
      <c r="E174" s="122">
        <v>2</v>
      </c>
      <c r="F174" s="123" t="s">
        <v>34</v>
      </c>
      <c r="G174" s="83">
        <v>34.84</v>
      </c>
      <c r="H174" s="83">
        <f t="shared" si="16"/>
        <v>69.68</v>
      </c>
      <c r="I174" s="84">
        <f t="shared" si="17"/>
        <v>80.132</v>
      </c>
    </row>
    <row r="175" spans="2:9" ht="12.75">
      <c r="B175" s="146" t="s">
        <v>427</v>
      </c>
      <c r="C175" s="143" t="s">
        <v>240</v>
      </c>
      <c r="D175" s="85" t="s">
        <v>105</v>
      </c>
      <c r="E175" s="122">
        <v>2</v>
      </c>
      <c r="F175" s="123" t="s">
        <v>34</v>
      </c>
      <c r="G175" s="83">
        <v>24.42</v>
      </c>
      <c r="H175" s="83">
        <f t="shared" si="16"/>
        <v>48.84</v>
      </c>
      <c r="I175" s="84">
        <f t="shared" si="17"/>
        <v>56.166</v>
      </c>
    </row>
    <row r="176" spans="2:9" ht="22.5">
      <c r="B176" s="146" t="s">
        <v>428</v>
      </c>
      <c r="C176" s="143" t="s">
        <v>272</v>
      </c>
      <c r="D176" s="85" t="s">
        <v>259</v>
      </c>
      <c r="E176" s="122">
        <v>27.68</v>
      </c>
      <c r="F176" s="123" t="s">
        <v>33</v>
      </c>
      <c r="G176" s="83">
        <v>120.68</v>
      </c>
      <c r="H176" s="83">
        <f>TRUNC(E176*G176,2)</f>
        <v>3340.42</v>
      </c>
      <c r="I176" s="84">
        <f>H176*1.15</f>
        <v>3841.4829999999997</v>
      </c>
    </row>
    <row r="177" spans="2:9" ht="12.75">
      <c r="B177" s="146" t="s">
        <v>429</v>
      </c>
      <c r="C177" s="133" t="s">
        <v>242</v>
      </c>
      <c r="D177" s="82" t="s">
        <v>111</v>
      </c>
      <c r="E177" s="122">
        <v>2</v>
      </c>
      <c r="F177" s="123" t="s">
        <v>34</v>
      </c>
      <c r="G177" s="83">
        <v>107.59</v>
      </c>
      <c r="H177" s="83">
        <f t="shared" si="16"/>
        <v>215.18</v>
      </c>
      <c r="I177" s="84">
        <f t="shared" si="17"/>
        <v>247.457</v>
      </c>
    </row>
    <row r="178" spans="2:9" ht="22.5">
      <c r="B178" s="146" t="s">
        <v>430</v>
      </c>
      <c r="C178" s="135" t="s">
        <v>338</v>
      </c>
      <c r="D178" s="86" t="s">
        <v>311</v>
      </c>
      <c r="E178" s="122">
        <v>1</v>
      </c>
      <c r="F178" s="123" t="s">
        <v>34</v>
      </c>
      <c r="G178" s="83">
        <v>152.69</v>
      </c>
      <c r="H178" s="83">
        <f t="shared" si="16"/>
        <v>152.69</v>
      </c>
      <c r="I178" s="84">
        <f t="shared" si="17"/>
        <v>175.59349999999998</v>
      </c>
    </row>
    <row r="179" spans="2:9" ht="22.5">
      <c r="B179" s="146" t="s">
        <v>431</v>
      </c>
      <c r="C179" s="135" t="s">
        <v>337</v>
      </c>
      <c r="D179" s="86" t="s">
        <v>312</v>
      </c>
      <c r="E179" s="122">
        <v>1</v>
      </c>
      <c r="F179" s="123" t="s">
        <v>34</v>
      </c>
      <c r="G179" s="83">
        <v>108.24</v>
      </c>
      <c r="H179" s="83">
        <f t="shared" si="16"/>
        <v>108.24</v>
      </c>
      <c r="I179" s="84">
        <f t="shared" si="17"/>
        <v>124.47599999999998</v>
      </c>
    </row>
    <row r="180" spans="2:9" ht="33.75">
      <c r="B180" s="146" t="s">
        <v>432</v>
      </c>
      <c r="C180" s="135" t="s">
        <v>336</v>
      </c>
      <c r="D180" s="86" t="s">
        <v>325</v>
      </c>
      <c r="E180" s="122">
        <v>2</v>
      </c>
      <c r="F180" s="123" t="s">
        <v>34</v>
      </c>
      <c r="G180" s="83">
        <v>184.16</v>
      </c>
      <c r="H180" s="83">
        <f t="shared" si="16"/>
        <v>368.32</v>
      </c>
      <c r="I180" s="84">
        <f t="shared" si="17"/>
        <v>423.568</v>
      </c>
    </row>
    <row r="181" spans="2:9" ht="22.5">
      <c r="B181" s="146" t="s">
        <v>448</v>
      </c>
      <c r="C181" s="135" t="s">
        <v>335</v>
      </c>
      <c r="D181" s="86" t="s">
        <v>314</v>
      </c>
      <c r="E181" s="122">
        <v>5</v>
      </c>
      <c r="F181" s="123" t="s">
        <v>34</v>
      </c>
      <c r="G181" s="83">
        <v>18.48</v>
      </c>
      <c r="H181" s="83">
        <f t="shared" si="16"/>
        <v>92.4</v>
      </c>
      <c r="I181" s="84">
        <f t="shared" si="17"/>
        <v>106.26</v>
      </c>
    </row>
    <row r="182" spans="2:9" ht="13.5" thickBot="1">
      <c r="B182" s="88"/>
      <c r="C182" s="139"/>
      <c r="D182" s="94" t="s">
        <v>6</v>
      </c>
      <c r="E182" s="124"/>
      <c r="F182" s="125"/>
      <c r="G182" s="90"/>
      <c r="H182" s="91">
        <f>SUM(H173:H181)</f>
        <v>4546.009999999999</v>
      </c>
      <c r="I182" s="91">
        <f>SUM(I173:I181)</f>
        <v>5227.9115</v>
      </c>
    </row>
    <row r="183" spans="2:9" ht="12.75">
      <c r="B183" s="75">
        <v>17</v>
      </c>
      <c r="C183" s="132"/>
      <c r="D183" s="76" t="s">
        <v>45</v>
      </c>
      <c r="E183" s="120"/>
      <c r="F183" s="121"/>
      <c r="G183" s="80"/>
      <c r="H183" s="80"/>
      <c r="I183" s="81"/>
    </row>
    <row r="184" spans="2:9" ht="12.75">
      <c r="B184" s="146" t="s">
        <v>172</v>
      </c>
      <c r="C184" s="133" t="s">
        <v>243</v>
      </c>
      <c r="D184" s="82" t="s">
        <v>80</v>
      </c>
      <c r="E184" s="122">
        <v>141.33</v>
      </c>
      <c r="F184" s="123" t="s">
        <v>52</v>
      </c>
      <c r="G184" s="83">
        <v>7.94</v>
      </c>
      <c r="H184" s="83">
        <f>TRUNC(E184*G184,2)</f>
        <v>1122.16</v>
      </c>
      <c r="I184" s="84">
        <f>H184*1.15</f>
        <v>1290.484</v>
      </c>
    </row>
    <row r="185" spans="2:9" ht="13.5" thickBot="1">
      <c r="B185" s="88"/>
      <c r="C185" s="137"/>
      <c r="D185" s="89" t="s">
        <v>6</v>
      </c>
      <c r="E185" s="124"/>
      <c r="F185" s="125"/>
      <c r="G185" s="90"/>
      <c r="H185" s="90">
        <f>SUM(H184)</f>
        <v>1122.16</v>
      </c>
      <c r="I185" s="91">
        <f>SUM(I184)</f>
        <v>1290.484</v>
      </c>
    </row>
    <row r="186" spans="2:9" ht="12.75">
      <c r="B186" s="75">
        <v>18</v>
      </c>
      <c r="C186" s="132"/>
      <c r="D186" s="76" t="s">
        <v>173</v>
      </c>
      <c r="E186" s="120"/>
      <c r="F186" s="121"/>
      <c r="G186" s="80"/>
      <c r="H186" s="80"/>
      <c r="I186" s="81"/>
    </row>
    <row r="187" spans="2:9" ht="22.5">
      <c r="B187" s="146" t="s">
        <v>433</v>
      </c>
      <c r="C187" s="123" t="s">
        <v>269</v>
      </c>
      <c r="D187" s="82" t="s">
        <v>262</v>
      </c>
      <c r="E187" s="122">
        <f>92.76</f>
        <v>92.76</v>
      </c>
      <c r="F187" s="123" t="s">
        <v>52</v>
      </c>
      <c r="G187" s="83">
        <v>7.77</v>
      </c>
      <c r="H187" s="83">
        <f>TRUNC(E187*G187,2)</f>
        <v>720.74</v>
      </c>
      <c r="I187" s="84">
        <f>H187*1.15</f>
        <v>828.851</v>
      </c>
    </row>
    <row r="188" spans="2:9" ht="22.5">
      <c r="B188" s="146" t="s">
        <v>434</v>
      </c>
      <c r="C188" s="135" t="s">
        <v>439</v>
      </c>
      <c r="D188" s="103" t="s">
        <v>438</v>
      </c>
      <c r="E188" s="129">
        <v>4.44</v>
      </c>
      <c r="F188" s="123" t="s">
        <v>52</v>
      </c>
      <c r="G188" s="83">
        <v>46.97</v>
      </c>
      <c r="H188" s="83">
        <f>TRUNC(E188*G188,2)</f>
        <v>208.54</v>
      </c>
      <c r="I188" s="84">
        <f>H188*1.15</f>
        <v>239.82099999999997</v>
      </c>
    </row>
    <row r="189" spans="2:9" ht="12.75">
      <c r="B189" s="146" t="s">
        <v>440</v>
      </c>
      <c r="C189" s="136" t="s">
        <v>244</v>
      </c>
      <c r="D189" s="87" t="s">
        <v>180</v>
      </c>
      <c r="E189" s="130">
        <v>3</v>
      </c>
      <c r="F189" s="123" t="s">
        <v>52</v>
      </c>
      <c r="G189" s="83">
        <v>72.89</v>
      </c>
      <c r="H189" s="83">
        <f>TRUNC(E189*G189,2)</f>
        <v>218.67</v>
      </c>
      <c r="I189" s="84">
        <f>H189*1.15</f>
        <v>251.47049999999996</v>
      </c>
    </row>
    <row r="190" spans="2:9" ht="13.5" thickBot="1">
      <c r="B190" s="88"/>
      <c r="C190" s="137"/>
      <c r="D190" s="89" t="s">
        <v>6</v>
      </c>
      <c r="E190" s="124"/>
      <c r="F190" s="125"/>
      <c r="G190" s="90"/>
      <c r="H190" s="90">
        <f>SUM(H187:H189)</f>
        <v>1147.95</v>
      </c>
      <c r="I190" s="91">
        <f>SUM(I187:I189)</f>
        <v>1320.1425</v>
      </c>
    </row>
    <row r="191" spans="2:9" ht="13.5" thickBot="1">
      <c r="B191" s="151"/>
      <c r="C191" s="78"/>
      <c r="D191" s="104" t="s">
        <v>32</v>
      </c>
      <c r="E191" s="77"/>
      <c r="F191" s="78"/>
      <c r="G191" s="105"/>
      <c r="H191" s="106">
        <f>H21+H33+H46+H56+H63+H72+H79+H106+H132+H136+H145+H152+H159+H164+H171+H182+H185+H190</f>
        <v>195253.29000000004</v>
      </c>
      <c r="I191" s="106">
        <f>I21+I33+I46+I56+I63+I72+I79+I106+I132+I136+I145+I152+I159+I164+I171+I182+I185+I190</f>
        <v>224541.2834999999</v>
      </c>
    </row>
    <row r="192" spans="2:8" ht="12.75">
      <c r="B192" s="61"/>
      <c r="D192" s="107"/>
      <c r="E192" s="79"/>
      <c r="F192" s="61"/>
      <c r="G192" s="108"/>
      <c r="H192" s="108"/>
    </row>
    <row r="193" spans="2:9" ht="12.75">
      <c r="B193" s="61"/>
      <c r="D193" s="107" t="s">
        <v>458</v>
      </c>
      <c r="E193" s="79"/>
      <c r="F193" s="61"/>
      <c r="G193" s="108"/>
      <c r="H193" s="108"/>
      <c r="I193" s="108"/>
    </row>
    <row r="194" spans="2:8" ht="12.75">
      <c r="B194" s="61"/>
      <c r="D194" s="107"/>
      <c r="E194" s="79"/>
      <c r="F194" s="61"/>
      <c r="G194" s="108"/>
      <c r="H194" s="108"/>
    </row>
    <row r="195" spans="2:9" ht="12.75">
      <c r="B195" s="61"/>
      <c r="D195" s="112"/>
      <c r="E195" s="167"/>
      <c r="F195" s="168"/>
      <c r="G195" s="169"/>
      <c r="H195" s="109"/>
      <c r="I195" s="110"/>
    </row>
    <row r="196" spans="2:9" ht="12.75">
      <c r="B196" s="61"/>
      <c r="D196" s="111"/>
      <c r="E196" s="161"/>
      <c r="F196" s="162"/>
      <c r="G196" s="163"/>
      <c r="H196" s="112"/>
      <c r="I196" s="162" t="s">
        <v>456</v>
      </c>
    </row>
    <row r="197" spans="2:9" ht="12.75">
      <c r="B197" s="61"/>
      <c r="D197" s="113"/>
      <c r="E197" s="164"/>
      <c r="F197" s="165"/>
      <c r="G197" s="163"/>
      <c r="H197" s="112"/>
      <c r="I197" s="165" t="s">
        <v>247</v>
      </c>
    </row>
    <row r="198" spans="2:9" ht="12.75">
      <c r="B198" s="61"/>
      <c r="D198" s="113"/>
      <c r="E198" s="164"/>
      <c r="F198" s="165"/>
      <c r="G198" s="166"/>
      <c r="H198" s="107"/>
      <c r="I198" s="165" t="s">
        <v>457</v>
      </c>
    </row>
    <row r="199" spans="2:8" ht="12.75">
      <c r="B199" s="61"/>
      <c r="D199" s="107"/>
      <c r="E199" s="79"/>
      <c r="F199" s="61"/>
      <c r="G199" s="107"/>
      <c r="H199" s="107"/>
    </row>
    <row r="200" spans="2:8" ht="12.75">
      <c r="B200" s="61"/>
      <c r="D200" s="107"/>
      <c r="E200" s="79"/>
      <c r="F200" s="61"/>
      <c r="G200" s="107"/>
      <c r="H200" s="107"/>
    </row>
    <row r="201" spans="2:8" ht="12.75">
      <c r="B201" s="61"/>
      <c r="D201" s="107"/>
      <c r="E201" s="79"/>
      <c r="F201" s="61"/>
      <c r="G201" s="107"/>
      <c r="H201" s="107"/>
    </row>
    <row r="202" spans="2:8" ht="12.75">
      <c r="B202" s="61"/>
      <c r="D202" s="107"/>
      <c r="E202" s="79"/>
      <c r="F202" s="61"/>
      <c r="G202" s="107"/>
      <c r="H202" s="108"/>
    </row>
    <row r="203" spans="2:8" ht="12.75">
      <c r="B203" s="61"/>
      <c r="D203" s="107"/>
      <c r="E203" s="79"/>
      <c r="F203" s="61"/>
      <c r="G203" s="107"/>
      <c r="H203" s="107"/>
    </row>
    <row r="204" spans="2:9" ht="12.75">
      <c r="B204" s="61"/>
      <c r="D204" s="107"/>
      <c r="E204" s="79"/>
      <c r="F204" s="61"/>
      <c r="G204" s="107"/>
      <c r="H204" s="114"/>
      <c r="I204" s="115"/>
    </row>
    <row r="205" spans="2:9" ht="12.75">
      <c r="B205" s="61"/>
      <c r="D205" s="107"/>
      <c r="E205" s="79"/>
      <c r="F205" s="61"/>
      <c r="G205" s="107"/>
      <c r="H205" s="108"/>
      <c r="I205" s="115"/>
    </row>
    <row r="206" spans="2:8" ht="12.75">
      <c r="B206" s="61"/>
      <c r="D206" s="107"/>
      <c r="E206" s="79"/>
      <c r="F206" s="61"/>
      <c r="G206" s="107"/>
      <c r="H206" s="107"/>
    </row>
    <row r="207" spans="2:8" ht="12.75">
      <c r="B207" s="61"/>
      <c r="D207" s="107"/>
      <c r="E207" s="79"/>
      <c r="F207" s="61"/>
      <c r="G207" s="107"/>
      <c r="H207" s="107"/>
    </row>
    <row r="208" spans="2:8" ht="12.75">
      <c r="B208" s="61"/>
      <c r="D208" s="107"/>
      <c r="E208" s="79"/>
      <c r="F208" s="61"/>
      <c r="G208" s="107"/>
      <c r="H208" s="107"/>
    </row>
    <row r="209" spans="2:8" ht="12.75">
      <c r="B209" s="61"/>
      <c r="D209" s="107"/>
      <c r="E209" s="79"/>
      <c r="F209" s="61"/>
      <c r="G209" s="107"/>
      <c r="H209" s="107"/>
    </row>
    <row r="210" spans="2:8" ht="12.75">
      <c r="B210" s="61"/>
      <c r="D210" s="107"/>
      <c r="E210" s="79"/>
      <c r="F210" s="61"/>
      <c r="G210" s="107"/>
      <c r="H210" s="107"/>
    </row>
    <row r="211" spans="2:8" ht="12.75">
      <c r="B211" s="61"/>
      <c r="D211" s="107"/>
      <c r="E211" s="79"/>
      <c r="F211" s="61"/>
      <c r="G211" s="107"/>
      <c r="H211" s="107"/>
    </row>
    <row r="212" spans="2:8" ht="12.75">
      <c r="B212" s="61"/>
      <c r="D212" s="107"/>
      <c r="E212" s="79"/>
      <c r="F212" s="61"/>
      <c r="G212" s="107"/>
      <c r="H212" s="107"/>
    </row>
    <row r="213" spans="2:8" ht="12.75">
      <c r="B213" s="61"/>
      <c r="D213" s="107"/>
      <c r="E213" s="79"/>
      <c r="F213" s="61"/>
      <c r="G213" s="107"/>
      <c r="H213" s="107"/>
    </row>
    <row r="214" spans="2:8" ht="12.75">
      <c r="B214" s="61"/>
      <c r="D214" s="107"/>
      <c r="E214" s="79"/>
      <c r="F214" s="61"/>
      <c r="G214" s="107"/>
      <c r="H214" s="107"/>
    </row>
    <row r="215" spans="2:8" ht="12.75">
      <c r="B215" s="61"/>
      <c r="D215" s="107"/>
      <c r="E215" s="79"/>
      <c r="F215" s="61"/>
      <c r="G215" s="107"/>
      <c r="H215" s="107"/>
    </row>
    <row r="216" spans="2:8" ht="12.75">
      <c r="B216" s="61"/>
      <c r="D216" s="107"/>
      <c r="E216" s="79"/>
      <c r="F216" s="61"/>
      <c r="G216" s="107"/>
      <c r="H216" s="107"/>
    </row>
    <row r="217" spans="2:8" ht="12.75">
      <c r="B217" s="61"/>
      <c r="D217" s="107"/>
      <c r="E217" s="79"/>
      <c r="F217" s="61"/>
      <c r="G217" s="107"/>
      <c r="H217" s="107"/>
    </row>
    <row r="218" spans="2:8" ht="12.75">
      <c r="B218" s="61"/>
      <c r="D218" s="107"/>
      <c r="E218" s="79"/>
      <c r="F218" s="61"/>
      <c r="G218" s="107"/>
      <c r="H218" s="107"/>
    </row>
    <row r="219" spans="2:8" ht="12.75">
      <c r="B219" s="61"/>
      <c r="D219" s="107"/>
      <c r="E219" s="79"/>
      <c r="F219" s="61"/>
      <c r="G219" s="107"/>
      <c r="H219" s="107"/>
    </row>
    <row r="220" spans="2:8" ht="12.75">
      <c r="B220" s="61"/>
      <c r="D220" s="107"/>
      <c r="E220" s="79"/>
      <c r="F220" s="61"/>
      <c r="G220" s="107"/>
      <c r="H220" s="107"/>
    </row>
    <row r="221" spans="2:8" ht="12.75">
      <c r="B221" s="61"/>
      <c r="D221" s="107"/>
      <c r="E221" s="79"/>
      <c r="F221" s="61"/>
      <c r="G221" s="107"/>
      <c r="H221" s="107"/>
    </row>
    <row r="222" spans="2:8" ht="12.75">
      <c r="B222" s="61"/>
      <c r="D222" s="107"/>
      <c r="E222" s="79"/>
      <c r="F222" s="61"/>
      <c r="G222" s="107"/>
      <c r="H222" s="107"/>
    </row>
    <row r="223" spans="2:8" ht="12.75">
      <c r="B223" s="61"/>
      <c r="D223" s="107"/>
      <c r="E223" s="79"/>
      <c r="F223" s="61"/>
      <c r="G223" s="107"/>
      <c r="H223" s="107"/>
    </row>
    <row r="224" spans="2:8" ht="12.75">
      <c r="B224" s="61"/>
      <c r="D224" s="107"/>
      <c r="E224" s="79"/>
      <c r="F224" s="61"/>
      <c r="G224" s="107"/>
      <c r="H224" s="107"/>
    </row>
    <row r="225" spans="2:8" ht="12.75">
      <c r="B225" s="61"/>
      <c r="D225" s="107"/>
      <c r="E225" s="79"/>
      <c r="F225" s="61"/>
      <c r="G225" s="107"/>
      <c r="H225" s="107"/>
    </row>
    <row r="226" spans="2:8" ht="12.75">
      <c r="B226" s="61"/>
      <c r="D226" s="107"/>
      <c r="E226" s="79"/>
      <c r="F226" s="61"/>
      <c r="G226" s="107"/>
      <c r="H226" s="107"/>
    </row>
    <row r="227" spans="2:8" ht="12.75">
      <c r="B227" s="61"/>
      <c r="D227" s="107"/>
      <c r="E227" s="79"/>
      <c r="F227" s="61"/>
      <c r="G227" s="107"/>
      <c r="H227" s="107"/>
    </row>
    <row r="228" spans="2:8" ht="12.75">
      <c r="B228" s="61"/>
      <c r="D228" s="107"/>
      <c r="E228" s="79"/>
      <c r="F228" s="61"/>
      <c r="G228" s="107"/>
      <c r="H228" s="107"/>
    </row>
    <row r="229" spans="2:8" ht="12.75">
      <c r="B229" s="61"/>
      <c r="D229" s="107"/>
      <c r="E229" s="79"/>
      <c r="F229" s="61"/>
      <c r="G229" s="107"/>
      <c r="H229" s="107"/>
    </row>
    <row r="230" spans="2:8" ht="12.75">
      <c r="B230" s="61"/>
      <c r="D230" s="107"/>
      <c r="E230" s="79"/>
      <c r="F230" s="61"/>
      <c r="G230" s="107"/>
      <c r="H230" s="107"/>
    </row>
    <row r="231" spans="2:8" ht="12.75">
      <c r="B231" s="61"/>
      <c r="D231" s="107"/>
      <c r="E231" s="79"/>
      <c r="F231" s="61"/>
      <c r="G231" s="107"/>
      <c r="H231" s="107"/>
    </row>
    <row r="232" spans="2:8" ht="12.75">
      <c r="B232" s="61"/>
      <c r="D232" s="107"/>
      <c r="E232" s="79"/>
      <c r="F232" s="61"/>
      <c r="G232" s="107"/>
      <c r="H232" s="107"/>
    </row>
    <row r="233" spans="2:8" ht="12.75">
      <c r="B233" s="61"/>
      <c r="D233" s="107"/>
      <c r="E233" s="79"/>
      <c r="F233" s="61"/>
      <c r="G233" s="107"/>
      <c r="H233" s="107"/>
    </row>
    <row r="234" spans="2:8" ht="12.75">
      <c r="B234" s="61"/>
      <c r="D234" s="107"/>
      <c r="E234" s="79"/>
      <c r="F234" s="61"/>
      <c r="G234" s="107"/>
      <c r="H234" s="107"/>
    </row>
    <row r="235" spans="2:8" ht="12.75">
      <c r="B235" s="61"/>
      <c r="D235" s="107"/>
      <c r="E235" s="79"/>
      <c r="F235" s="61"/>
      <c r="G235" s="107"/>
      <c r="H235" s="107"/>
    </row>
    <row r="236" spans="2:8" ht="12.75">
      <c r="B236" s="61"/>
      <c r="D236" s="107"/>
      <c r="E236" s="79"/>
      <c r="F236" s="61"/>
      <c r="G236" s="107"/>
      <c r="H236" s="107"/>
    </row>
    <row r="237" spans="2:8" ht="12.75">
      <c r="B237" s="61"/>
      <c r="D237" s="107"/>
      <c r="E237" s="79"/>
      <c r="F237" s="61"/>
      <c r="G237" s="107"/>
      <c r="H237" s="107"/>
    </row>
    <row r="238" spans="2:8" ht="12.75">
      <c r="B238" s="61"/>
      <c r="D238" s="107"/>
      <c r="E238" s="79"/>
      <c r="F238" s="61"/>
      <c r="G238" s="107"/>
      <c r="H238" s="107"/>
    </row>
    <row r="239" spans="2:8" ht="12.75">
      <c r="B239" s="61"/>
      <c r="D239" s="107"/>
      <c r="E239" s="79"/>
      <c r="F239" s="61"/>
      <c r="G239" s="107"/>
      <c r="H239" s="107"/>
    </row>
    <row r="240" spans="2:8" ht="12.75">
      <c r="B240" s="61"/>
      <c r="D240" s="107"/>
      <c r="E240" s="79"/>
      <c r="F240" s="61"/>
      <c r="G240" s="107"/>
      <c r="H240" s="107"/>
    </row>
    <row r="241" spans="2:8" ht="12.75">
      <c r="B241" s="61"/>
      <c r="D241" s="107"/>
      <c r="E241" s="79"/>
      <c r="F241" s="61"/>
      <c r="G241" s="107"/>
      <c r="H241" s="107"/>
    </row>
    <row r="242" spans="2:8" ht="12.75">
      <c r="B242" s="61"/>
      <c r="D242" s="107"/>
      <c r="E242" s="79"/>
      <c r="F242" s="61"/>
      <c r="G242" s="107"/>
      <c r="H242" s="107"/>
    </row>
    <row r="243" spans="2:8" ht="12.75">
      <c r="B243" s="61"/>
      <c r="D243" s="107"/>
      <c r="E243" s="79"/>
      <c r="F243" s="61"/>
      <c r="G243" s="107"/>
      <c r="H243" s="107"/>
    </row>
    <row r="244" spans="2:8" ht="12.75">
      <c r="B244" s="61"/>
      <c r="D244" s="107"/>
      <c r="E244" s="79"/>
      <c r="F244" s="61"/>
      <c r="G244" s="107"/>
      <c r="H244" s="107"/>
    </row>
    <row r="245" spans="2:8" ht="12.75">
      <c r="B245" s="61"/>
      <c r="D245" s="107"/>
      <c r="E245" s="79"/>
      <c r="F245" s="61"/>
      <c r="G245" s="107"/>
      <c r="H245" s="107"/>
    </row>
    <row r="246" spans="2:8" ht="12.75">
      <c r="B246" s="61"/>
      <c r="D246" s="107"/>
      <c r="E246" s="79"/>
      <c r="F246" s="61"/>
      <c r="G246" s="107"/>
      <c r="H246" s="107"/>
    </row>
    <row r="247" spans="2:8" ht="12.75">
      <c r="B247" s="61"/>
      <c r="D247" s="107"/>
      <c r="E247" s="79"/>
      <c r="F247" s="61"/>
      <c r="G247" s="107"/>
      <c r="H247" s="107"/>
    </row>
    <row r="248" spans="2:8" ht="12.75">
      <c r="B248" s="61"/>
      <c r="D248" s="107"/>
      <c r="E248" s="79"/>
      <c r="F248" s="61"/>
      <c r="G248" s="107"/>
      <c r="H248" s="107"/>
    </row>
    <row r="249" spans="2:8" ht="12.75">
      <c r="B249" s="61"/>
      <c r="D249" s="107"/>
      <c r="E249" s="79"/>
      <c r="F249" s="61"/>
      <c r="G249" s="107"/>
      <c r="H249" s="107"/>
    </row>
    <row r="250" spans="2:8" ht="12.75">
      <c r="B250" s="61"/>
      <c r="D250" s="107"/>
      <c r="E250" s="79"/>
      <c r="F250" s="61"/>
      <c r="G250" s="107"/>
      <c r="H250" s="107"/>
    </row>
    <row r="251" spans="2:8" ht="12.75">
      <c r="B251" s="61"/>
      <c r="D251" s="107"/>
      <c r="E251" s="79"/>
      <c r="F251" s="61"/>
      <c r="G251" s="107"/>
      <c r="H251" s="107"/>
    </row>
    <row r="252" spans="2:8" ht="12.75">
      <c r="B252" s="61"/>
      <c r="D252" s="107"/>
      <c r="E252" s="79"/>
      <c r="F252" s="61"/>
      <c r="G252" s="107"/>
      <c r="H252" s="107"/>
    </row>
    <row r="253" spans="2:8" ht="12.75">
      <c r="B253" s="61"/>
      <c r="D253" s="107"/>
      <c r="E253" s="79"/>
      <c r="F253" s="61"/>
      <c r="G253" s="107"/>
      <c r="H253" s="107"/>
    </row>
    <row r="254" spans="2:8" ht="12.75">
      <c r="B254" s="61"/>
      <c r="D254" s="107"/>
      <c r="E254" s="79"/>
      <c r="F254" s="61"/>
      <c r="G254" s="107"/>
      <c r="H254" s="107"/>
    </row>
    <row r="255" spans="2:8" ht="12.75">
      <c r="B255" s="61"/>
      <c r="D255" s="107"/>
      <c r="E255" s="79"/>
      <c r="F255" s="61"/>
      <c r="G255" s="107"/>
      <c r="H255" s="107"/>
    </row>
    <row r="256" spans="2:8" ht="12.75">
      <c r="B256" s="61"/>
      <c r="D256" s="107"/>
      <c r="E256" s="79"/>
      <c r="F256" s="61"/>
      <c r="G256" s="107"/>
      <c r="H256" s="107"/>
    </row>
    <row r="257" spans="2:8" ht="12.75">
      <c r="B257" s="61"/>
      <c r="D257" s="107"/>
      <c r="E257" s="79"/>
      <c r="F257" s="61"/>
      <c r="G257" s="107"/>
      <c r="H257" s="107"/>
    </row>
    <row r="258" spans="2:8" ht="12.75">
      <c r="B258" s="61"/>
      <c r="D258" s="107"/>
      <c r="E258" s="79"/>
      <c r="F258" s="61"/>
      <c r="G258" s="107"/>
      <c r="H258" s="107"/>
    </row>
    <row r="259" spans="2:8" ht="12.75">
      <c r="B259" s="61"/>
      <c r="D259" s="107"/>
      <c r="E259" s="79"/>
      <c r="F259" s="61"/>
      <c r="G259" s="107"/>
      <c r="H259" s="107"/>
    </row>
    <row r="260" spans="2:8" ht="12.75">
      <c r="B260" s="61"/>
      <c r="D260" s="107"/>
      <c r="E260" s="79"/>
      <c r="F260" s="61"/>
      <c r="G260" s="107"/>
      <c r="H260" s="107"/>
    </row>
    <row r="261" spans="2:8" ht="12.75">
      <c r="B261" s="61"/>
      <c r="D261" s="107"/>
      <c r="E261" s="79"/>
      <c r="F261" s="61"/>
      <c r="G261" s="107"/>
      <c r="H261" s="107"/>
    </row>
    <row r="262" spans="2:8" ht="12.75">
      <c r="B262" s="61"/>
      <c r="D262" s="107"/>
      <c r="E262" s="79"/>
      <c r="F262" s="61"/>
      <c r="G262" s="107"/>
      <c r="H262" s="107"/>
    </row>
    <row r="263" spans="2:8" ht="12.75">
      <c r="B263" s="61"/>
      <c r="D263" s="107"/>
      <c r="E263" s="79"/>
      <c r="F263" s="61"/>
      <c r="G263" s="107"/>
      <c r="H263" s="107"/>
    </row>
    <row r="264" spans="2:8" ht="12.75">
      <c r="B264" s="61"/>
      <c r="D264" s="107"/>
      <c r="E264" s="79"/>
      <c r="F264" s="61"/>
      <c r="G264" s="107"/>
      <c r="H264" s="107"/>
    </row>
    <row r="265" spans="2:8" ht="12.75">
      <c r="B265" s="61"/>
      <c r="D265" s="107"/>
      <c r="E265" s="79"/>
      <c r="F265" s="61"/>
      <c r="G265" s="107"/>
      <c r="H265" s="107"/>
    </row>
    <row r="266" spans="2:8" ht="12.75">
      <c r="B266" s="61"/>
      <c r="D266" s="107"/>
      <c r="E266" s="79"/>
      <c r="F266" s="61"/>
      <c r="G266" s="107"/>
      <c r="H266" s="107"/>
    </row>
    <row r="267" spans="2:8" ht="12.75">
      <c r="B267" s="61"/>
      <c r="D267" s="107"/>
      <c r="E267" s="79"/>
      <c r="F267" s="61"/>
      <c r="G267" s="107"/>
      <c r="H267" s="107"/>
    </row>
    <row r="268" spans="2:8" ht="12.75">
      <c r="B268" s="61"/>
      <c r="D268" s="107"/>
      <c r="E268" s="79"/>
      <c r="F268" s="61"/>
      <c r="G268" s="107"/>
      <c r="H268" s="107"/>
    </row>
    <row r="269" spans="2:8" ht="12.75">
      <c r="B269" s="61"/>
      <c r="D269" s="107"/>
      <c r="E269" s="79"/>
      <c r="F269" s="61"/>
      <c r="G269" s="107"/>
      <c r="H269" s="107"/>
    </row>
    <row r="270" spans="2:8" ht="12.75">
      <c r="B270" s="61"/>
      <c r="D270" s="107"/>
      <c r="E270" s="79"/>
      <c r="F270" s="61"/>
      <c r="G270" s="107"/>
      <c r="H270" s="107"/>
    </row>
    <row r="271" spans="2:8" ht="12.75">
      <c r="B271" s="61"/>
      <c r="D271" s="107"/>
      <c r="E271" s="79"/>
      <c r="F271" s="61"/>
      <c r="G271" s="107"/>
      <c r="H271" s="107"/>
    </row>
  </sheetData>
  <sheetProtection/>
  <mergeCells count="8">
    <mergeCell ref="B6:D6"/>
    <mergeCell ref="E6:I6"/>
    <mergeCell ref="B7:I7"/>
    <mergeCell ref="B9:I9"/>
    <mergeCell ref="B2:I2"/>
    <mergeCell ref="B3:I3"/>
    <mergeCell ref="B4:I4"/>
    <mergeCell ref="B5:I5"/>
  </mergeCells>
  <printOptions horizontalCentered="1"/>
  <pageMargins left="0" right="0" top="0" bottom="0" header="0" footer="0"/>
  <pageSetup horizontalDpi="300" verticalDpi="300" orientation="portrait" paperSize="9" scale="85" r:id="rId3"/>
  <legacyDrawing r:id="rId2"/>
  <oleObjects>
    <oleObject progId="PBrush" shapeId="45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O42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9.7109375" style="0" bestFit="1" customWidth="1"/>
    <col min="4" max="4" width="14.28125" style="0" customWidth="1"/>
    <col min="5" max="5" width="8.00390625" style="0" bestFit="1" customWidth="1"/>
    <col min="6" max="6" width="12.421875" style="0" customWidth="1"/>
    <col min="7" max="7" width="12.8515625" style="0" customWidth="1"/>
    <col min="8" max="9" width="12.28125" style="0" bestFit="1" customWidth="1"/>
    <col min="10" max="12" width="12.57421875" style="0" bestFit="1" customWidth="1"/>
    <col min="13" max="13" width="12.7109375" style="0" customWidth="1"/>
    <col min="14" max="14" width="14.28125" style="0" bestFit="1" customWidth="1"/>
    <col min="15" max="15" width="3.7109375" style="0" customWidth="1"/>
  </cols>
  <sheetData>
    <row r="1" spans="6:15" ht="12.75"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0.25">
      <c r="B2" s="158" t="s">
        <v>363</v>
      </c>
      <c r="C2" s="158"/>
      <c r="D2" s="158"/>
      <c r="E2" s="158"/>
      <c r="F2" s="158"/>
      <c r="G2" s="158"/>
      <c r="H2" s="158"/>
      <c r="I2" s="158"/>
      <c r="J2" s="158"/>
      <c r="K2" s="158"/>
      <c r="L2" s="23"/>
      <c r="M2" s="23"/>
      <c r="N2" s="29"/>
      <c r="O2" s="29"/>
    </row>
    <row r="3" spans="2:15" ht="20.25">
      <c r="B3" s="159" t="s">
        <v>364</v>
      </c>
      <c r="C3" s="159"/>
      <c r="D3" s="159"/>
      <c r="E3" s="159"/>
      <c r="F3" s="159"/>
      <c r="G3" s="159"/>
      <c r="H3" s="159"/>
      <c r="I3" s="159"/>
      <c r="J3" s="159"/>
      <c r="K3" s="159"/>
      <c r="L3" s="24"/>
      <c r="M3" s="24"/>
      <c r="N3" s="30"/>
      <c r="O3" s="30"/>
    </row>
    <row r="5" ht="49.5" customHeight="1"/>
    <row r="6" spans="2:13" s="4" customFormat="1" ht="15.75">
      <c r="B6" s="156" t="s">
        <v>44</v>
      </c>
      <c r="C6" s="156"/>
      <c r="D6" s="156"/>
      <c r="E6" s="156"/>
      <c r="F6" s="156"/>
      <c r="G6" s="156"/>
      <c r="H6" s="21"/>
      <c r="I6" s="21"/>
      <c r="J6" s="21"/>
      <c r="K6" s="21"/>
      <c r="L6" s="21"/>
      <c r="M6" s="21"/>
    </row>
    <row r="7" spans="2:13" s="4" customFormat="1" ht="12.75" customHeight="1">
      <c r="B7"/>
      <c r="C7"/>
      <c r="D7"/>
      <c r="E7"/>
      <c r="F7"/>
      <c r="G7"/>
      <c r="H7"/>
      <c r="I7"/>
      <c r="J7"/>
      <c r="K7"/>
      <c r="L7"/>
      <c r="M7"/>
    </row>
    <row r="8" spans="2:13" s="4" customFormat="1" ht="12.75">
      <c r="B8" s="157" t="str">
        <f>'Planilha Orçamentária'!B4</f>
        <v>Proponente: Prefeitura Municipal de Cerqueira César</v>
      </c>
      <c r="C8" s="157"/>
      <c r="D8" s="157"/>
      <c r="E8" s="157"/>
      <c r="F8" s="157"/>
      <c r="G8" s="157"/>
      <c r="H8" s="6"/>
      <c r="I8" s="6"/>
      <c r="J8" s="6"/>
      <c r="K8" s="6"/>
      <c r="L8" s="6"/>
      <c r="M8" s="6"/>
    </row>
    <row r="9" spans="2:13" s="4" customFormat="1" ht="12.75">
      <c r="B9" s="6" t="str">
        <f>'Planilha Orçamentária'!B5:G5</f>
        <v>Assunto/Título: Construção de prédio para o Centro de Convivência da Criança e do Adolescente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s="4" customFormat="1" ht="12.75">
      <c r="B10" s="6" t="str">
        <f>'Planilha Orçamentária'!B6</f>
        <v>Local: Rua 31, s/ n° - Parque Nove de Julho</v>
      </c>
      <c r="C10" s="6"/>
      <c r="D10" s="6"/>
      <c r="E10" s="6"/>
      <c r="F10" s="25" t="str">
        <f>'Planilha Orçamentária'!E6</f>
        <v>Município: Cerqueira César</v>
      </c>
      <c r="G10" s="6"/>
      <c r="H10" s="6"/>
      <c r="I10" s="6"/>
      <c r="J10" s="6"/>
      <c r="K10" s="6"/>
      <c r="L10" s="6"/>
      <c r="M10" s="6"/>
    </row>
    <row r="11" spans="2:13" s="4" customFormat="1" ht="12.75">
      <c r="B11" s="6" t="str">
        <f>'Planilha Orçamentária'!B7</f>
        <v>Áreas: de construção nova = 141,33 m²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s="4" customFormat="1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s="4" customFormat="1" ht="13.5" thickBo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3.5" thickBot="1">
      <c r="B14" s="8" t="s">
        <v>39</v>
      </c>
      <c r="C14" s="8" t="s">
        <v>40</v>
      </c>
      <c r="D14" s="8" t="s">
        <v>441</v>
      </c>
      <c r="E14" s="42" t="s">
        <v>442</v>
      </c>
      <c r="F14" s="11" t="s">
        <v>41</v>
      </c>
      <c r="G14" s="47" t="s">
        <v>42</v>
      </c>
      <c r="H14" s="45" t="s">
        <v>43</v>
      </c>
      <c r="I14" s="11" t="s">
        <v>435</v>
      </c>
      <c r="J14" s="54" t="s">
        <v>436</v>
      </c>
      <c r="K14" s="11" t="s">
        <v>437</v>
      </c>
      <c r="L14" s="54" t="s">
        <v>443</v>
      </c>
      <c r="M14" s="11" t="s">
        <v>444</v>
      </c>
    </row>
    <row r="15" spans="2:15" ht="12.75" customHeight="1" thickBot="1">
      <c r="B15" s="13">
        <v>1</v>
      </c>
      <c r="C15" s="31" t="s">
        <v>84</v>
      </c>
      <c r="D15" s="35">
        <f>'Planilha Orçamentária'!I21</f>
        <v>8709.3525</v>
      </c>
      <c r="E15" s="43">
        <f>D15/$D$33</f>
        <v>0.03878731057489482</v>
      </c>
      <c r="F15" s="48">
        <f>'Planilha Orçamentária'!I13+'Planilha Orçamentária'!I14+'Planilha Orçamentária'!I15+'Planilha Orçamentária'!I16/8+'Planilha Orçamentária'!I17+'Planilha Orçamentária'!I18+'Planilha Orçamentária'!I19</f>
        <v>7111.8415</v>
      </c>
      <c r="G15" s="53">
        <f>'Planilha Orçamentária'!I16/8+'Planilha Orçamentária'!I20</f>
        <v>1275.8329999999999</v>
      </c>
      <c r="H15" s="48">
        <f>'Planilha Orçamentária'!I16/8</f>
        <v>53.61299999999999</v>
      </c>
      <c r="I15" s="53">
        <f>'Planilha Orçamentária'!I16/8</f>
        <v>53.61299999999999</v>
      </c>
      <c r="J15" s="48">
        <f>'Planilha Orçamentária'!I16/8</f>
        <v>53.61299999999999</v>
      </c>
      <c r="K15" s="53">
        <f>'Planilha Orçamentária'!I16/8</f>
        <v>53.61299999999999</v>
      </c>
      <c r="L15" s="53">
        <f>'Planilha Orçamentária'!I16/8</f>
        <v>53.61299999999999</v>
      </c>
      <c r="M15" s="53">
        <f>'Planilha Orçamentária'!I16/8</f>
        <v>53.61299999999999</v>
      </c>
      <c r="N15" s="15"/>
      <c r="O15" s="28"/>
    </row>
    <row r="16" spans="2:15" ht="13.5" thickBot="1">
      <c r="B16" s="26">
        <v>2</v>
      </c>
      <c r="C16" s="56" t="s">
        <v>316</v>
      </c>
      <c r="D16" s="39">
        <f>'Planilha Orçamentária'!I33</f>
        <v>28191.226499999997</v>
      </c>
      <c r="E16" s="43">
        <f aca="true" t="shared" si="0" ref="E16:E32">D16/$D$33</f>
        <v>0.12555030442764886</v>
      </c>
      <c r="F16" s="49">
        <f>'Planilha Orçamentária'!I33</f>
        <v>28191.226499999997</v>
      </c>
      <c r="G16" s="57"/>
      <c r="H16" s="49"/>
      <c r="I16" s="57"/>
      <c r="J16" s="49"/>
      <c r="K16" s="57"/>
      <c r="L16" s="57"/>
      <c r="M16" s="57"/>
      <c r="N16" s="15"/>
      <c r="O16" s="28"/>
    </row>
    <row r="17" spans="2:15" ht="13.5" thickBot="1">
      <c r="B17" s="14">
        <v>3</v>
      </c>
      <c r="C17" s="32" t="s">
        <v>86</v>
      </c>
      <c r="D17" s="36">
        <f>'Planilha Orçamentária'!I46</f>
        <v>12547.7305</v>
      </c>
      <c r="E17" s="43">
        <f t="shared" si="0"/>
        <v>0.05588161920344597</v>
      </c>
      <c r="F17" s="49"/>
      <c r="G17" s="49">
        <f>'Planilha Orçamentária'!I46</f>
        <v>12547.7305</v>
      </c>
      <c r="H17" s="49"/>
      <c r="I17" s="49"/>
      <c r="J17" s="49"/>
      <c r="K17" s="49"/>
      <c r="L17" s="49"/>
      <c r="M17" s="49"/>
      <c r="N17" s="15"/>
      <c r="O17" s="28"/>
    </row>
    <row r="18" spans="2:15" ht="13.5" thickBot="1">
      <c r="B18" s="10">
        <v>4</v>
      </c>
      <c r="C18" s="32" t="s">
        <v>17</v>
      </c>
      <c r="D18" s="36">
        <f>'Planilha Orçamentária'!I56</f>
        <v>27152.511999999995</v>
      </c>
      <c r="E18" s="43">
        <f t="shared" si="0"/>
        <v>0.12092436444988972</v>
      </c>
      <c r="F18" s="49"/>
      <c r="G18" s="49">
        <f>'Planilha Orçamentária'!I56/3</f>
        <v>9050.837333333331</v>
      </c>
      <c r="H18" s="49">
        <f>'Planilha Orçamentária'!I56/3</f>
        <v>9050.837333333331</v>
      </c>
      <c r="I18" s="49">
        <f>'Planilha Orçamentária'!I56/3</f>
        <v>9050.837333333331</v>
      </c>
      <c r="J18" s="49"/>
      <c r="K18" s="49"/>
      <c r="L18" s="49"/>
      <c r="M18" s="49"/>
      <c r="N18" s="15"/>
      <c r="O18" s="28"/>
    </row>
    <row r="19" spans="2:15" ht="13.5" thickBot="1">
      <c r="B19" s="10">
        <v>5</v>
      </c>
      <c r="C19" s="32" t="s">
        <v>22</v>
      </c>
      <c r="D19" s="36">
        <f>'Planilha Orçamentária'!I63</f>
        <v>23986.585</v>
      </c>
      <c r="E19" s="43">
        <f t="shared" si="0"/>
        <v>0.1068248325034626</v>
      </c>
      <c r="F19" s="50"/>
      <c r="G19" s="58"/>
      <c r="H19" s="50">
        <f>'Planilha Orçamentária'!I58/2+'Planilha Orçamentária'!I59/2+'Planilha Orçamentária'!I60/2</f>
        <v>6687.985999999999</v>
      </c>
      <c r="I19" s="50">
        <f>'Planilha Orçamentária'!I58/2+'Planilha Orçamentária'!I59/2+'Planilha Orçamentária'!I60/2</f>
        <v>6687.985999999999</v>
      </c>
      <c r="J19" s="50">
        <f>'Planilha Orçamentária'!I62</f>
        <v>2903.543</v>
      </c>
      <c r="K19" s="58"/>
      <c r="L19" s="50"/>
      <c r="M19" s="50">
        <f>'Planilha Orçamentária'!I61</f>
        <v>7707.07</v>
      </c>
      <c r="N19" s="15"/>
      <c r="O19" s="28"/>
    </row>
    <row r="20" spans="2:15" ht="13.5" thickBot="1">
      <c r="B20" s="10">
        <v>6</v>
      </c>
      <c r="C20" s="32" t="s">
        <v>18</v>
      </c>
      <c r="D20" s="36">
        <f>'Planilha Orçamentária'!I72</f>
        <v>16147.276499999998</v>
      </c>
      <c r="E20" s="43">
        <f t="shared" si="0"/>
        <v>0.07191228378277265</v>
      </c>
      <c r="F20" s="49"/>
      <c r="G20" s="49"/>
      <c r="I20" s="49">
        <f>'Planilha Orçamentária'!I72/2</f>
        <v>8073.638249999999</v>
      </c>
      <c r="J20" s="49">
        <f>'Planilha Orçamentária'!I72/2</f>
        <v>8073.638249999999</v>
      </c>
      <c r="K20" s="49"/>
      <c r="L20" s="49"/>
      <c r="M20" s="49"/>
      <c r="N20" s="15"/>
      <c r="O20" s="28"/>
    </row>
    <row r="21" spans="2:15" ht="13.5" thickBot="1">
      <c r="B21" s="10">
        <v>7</v>
      </c>
      <c r="C21" s="32" t="s">
        <v>19</v>
      </c>
      <c r="D21" s="36">
        <f>'Planilha Orçamentária'!I79</f>
        <v>3492.4235</v>
      </c>
      <c r="E21" s="43">
        <f t="shared" si="0"/>
        <v>0.015553591952279018</v>
      </c>
      <c r="F21" s="49"/>
      <c r="G21" s="49"/>
      <c r="H21" s="49"/>
      <c r="I21" s="49">
        <f>'Planilha Orçamentária'!I74+'Planilha Orçamentária'!I75</f>
        <v>2207.9885</v>
      </c>
      <c r="J21" s="49">
        <f>'Planilha Orçamentária'!I76+'Planilha Orçamentária'!I77+'Planilha Orçamentária'!I78</f>
        <v>1284.435</v>
      </c>
      <c r="K21" s="49"/>
      <c r="L21" s="49"/>
      <c r="M21" s="49"/>
      <c r="N21" s="15"/>
      <c r="O21" s="28"/>
    </row>
    <row r="22" spans="2:15" ht="13.5" thickBot="1">
      <c r="B22" s="10">
        <v>8</v>
      </c>
      <c r="C22" s="32" t="s">
        <v>20</v>
      </c>
      <c r="D22" s="36">
        <f>'Planilha Orçamentária'!I106</f>
        <v>17267.3765</v>
      </c>
      <c r="E22" s="43">
        <f t="shared" si="0"/>
        <v>0.07690067603982502</v>
      </c>
      <c r="F22" s="49">
        <f>'Planilha Orçamentária'!I81</f>
        <v>895.5279999999999</v>
      </c>
      <c r="G22" s="49"/>
      <c r="H22" s="58"/>
      <c r="I22" s="49">
        <f>'Planilha Orçamentária'!I89+'Planilha Orçamentária'!I88</f>
        <v>547.676</v>
      </c>
      <c r="J22" s="49">
        <f>'Planilha Orçamentária'!I82+'Planilha Orçamentária'!I83+'Planilha Orçamentária'!I84+'Planilha Orçamentária'!I85</f>
        <v>4225.3184999999985</v>
      </c>
      <c r="K22" s="49">
        <f>'Planilha Orçamentária'!I105</f>
        <v>1261.251</v>
      </c>
      <c r="L22" s="49">
        <f>'Planilha Orçamentária'!I86+'Planilha Orçamentária'!I87+'Planilha Orçamentária'!I90+'Planilha Orçamentária'!I91+'Planilha Orçamentária'!I92+'Planilha Orçamentária'!I93+'Planilha Orçamentária'!I94+'Planilha Orçamentária'!I95+'Planilha Orçamentária'!I96+'Planilha Orçamentária'!I97+'Planilha Orçamentária'!I98+'Planilha Orçamentária'!I99+'Planilha Orçamentária'!I100+'Planilha Orçamentária'!I101+'Planilha Orçamentária'!I102+'Planilha Orçamentária'!I103+'Planilha Orçamentária'!I104</f>
        <v>10337.603000000001</v>
      </c>
      <c r="M22" s="49"/>
      <c r="N22" s="15"/>
      <c r="O22" s="28"/>
    </row>
    <row r="23" spans="2:15" ht="13.5" thickBot="1">
      <c r="B23" s="10">
        <v>9</v>
      </c>
      <c r="C23" s="32" t="s">
        <v>23</v>
      </c>
      <c r="D23" s="36">
        <f>'Planilha Orçamentária'!I132</f>
        <v>13092.830499999995</v>
      </c>
      <c r="E23" s="43">
        <f t="shared" si="0"/>
        <v>0.05830923514784309</v>
      </c>
      <c r="F23" s="49">
        <f>'Planilha Orçamentária'!I108+'Planilha Orçamentária'!I110</f>
        <v>1097.376</v>
      </c>
      <c r="G23" s="49"/>
      <c r="H23" s="49"/>
      <c r="I23" s="58"/>
      <c r="J23" s="58"/>
      <c r="K23" s="49">
        <f>'Planilha Orçamentária'!I113+'Planilha Orçamentária'!I118+'Planilha Orçamentária'!I119</f>
        <v>2021.0329999999997</v>
      </c>
      <c r="L23" s="49">
        <f>'Planilha Orçamentária'!I111+'Planilha Orçamentária'!I109+'Planilha Orçamentária'!I112+'Planilha Orçamentária'!I115+'Planilha Orçamentária'!I116+'Planilha Orçamentária'!I117</f>
        <v>5213.9505</v>
      </c>
      <c r="M23" s="49">
        <f>'Planilha Orçamentária'!I114+'Planilha Orçamentária'!I120+'Planilha Orçamentária'!I121+'Planilha Orçamentária'!I122+'Planilha Orçamentária'!I123+'Planilha Orçamentária'!I124+'Planilha Orçamentária'!I125+'Planilha Orçamentária'!I126+'Planilha Orçamentária'!I127+'Planilha Orçamentária'!I128+'Planilha Orçamentária'!I129+'Planilha Orçamentária'!I130+'Planilha Orçamentária'!I131</f>
        <v>4760.471</v>
      </c>
      <c r="N23" s="15"/>
      <c r="O23" s="28"/>
    </row>
    <row r="24" spans="2:15" ht="13.5" thickBot="1">
      <c r="B24" s="10">
        <v>10</v>
      </c>
      <c r="C24" s="32" t="s">
        <v>38</v>
      </c>
      <c r="D24" s="36">
        <f>'Planilha Orçamentária'!I136</f>
        <v>2255.679</v>
      </c>
      <c r="E24" s="43">
        <f t="shared" si="0"/>
        <v>0.010045720612441413</v>
      </c>
      <c r="F24" s="49"/>
      <c r="G24" s="49"/>
      <c r="H24" s="49"/>
      <c r="I24" s="49"/>
      <c r="J24" s="49"/>
      <c r="K24" s="49">
        <f>'Planilha Orçamentária'!I134+'Planilha Orçamentária'!I135</f>
        <v>2255.679</v>
      </c>
      <c r="L24" s="49"/>
      <c r="M24" s="49"/>
      <c r="N24" s="15"/>
      <c r="O24" s="28"/>
    </row>
    <row r="25" spans="2:15" ht="13.5" thickBot="1">
      <c r="B25" s="10">
        <v>11</v>
      </c>
      <c r="C25" s="32" t="s">
        <v>89</v>
      </c>
      <c r="D25" s="36">
        <f>'Planilha Orçamentária'!I145</f>
        <v>18858.286499999995</v>
      </c>
      <c r="E25" s="43">
        <f t="shared" si="0"/>
        <v>0.08398583194167945</v>
      </c>
      <c r="F25" s="49"/>
      <c r="G25" s="49"/>
      <c r="H25" s="49"/>
      <c r="I25" s="49"/>
      <c r="J25" s="58"/>
      <c r="K25" s="49">
        <f>'Planilha Orçamentária'!I138+'Planilha Orçamentária'!I139+'Planilha Orçamentária'!I140+'Planilha Orçamentária'!I141+'Planilha Orçamentária'!I142</f>
        <v>14150.715499999997</v>
      </c>
      <c r="L25" s="49">
        <f>'Planilha Orçamentária'!I143+'Planilha Orçamentária'!I144</f>
        <v>4707.571</v>
      </c>
      <c r="M25" s="49"/>
      <c r="N25" s="15"/>
      <c r="O25" s="28"/>
    </row>
    <row r="26" spans="2:15" ht="13.5" thickBot="1">
      <c r="B26" s="10">
        <v>12</v>
      </c>
      <c r="C26" s="32" t="s">
        <v>25</v>
      </c>
      <c r="D26" s="36">
        <f>'Planilha Orçamentária'!I152</f>
        <v>15928.914499999999</v>
      </c>
      <c r="E26" s="43">
        <f t="shared" si="0"/>
        <v>0.0709398033702787</v>
      </c>
      <c r="F26" s="49"/>
      <c r="G26" s="49"/>
      <c r="H26" s="49"/>
      <c r="I26" s="49">
        <f>'Planilha Orçamentária'!I147+'Planilha Orçamentária'!I148/2+'Planilha Orçamentária'!I149/2</f>
        <v>7980.022499999999</v>
      </c>
      <c r="J26" s="49">
        <f>'Planilha Orçamentária'!I148/2+'Planilha Orçamentária'!I149/2+'Planilha Orçamentária'!I150+'Planilha Orçamentária'!I151</f>
        <v>7948.891999999999</v>
      </c>
      <c r="K26" s="49"/>
      <c r="L26" s="49"/>
      <c r="M26" s="49"/>
      <c r="N26" s="15"/>
      <c r="O26" s="28"/>
    </row>
    <row r="27" spans="2:15" ht="13.5" thickBot="1">
      <c r="B27" s="10">
        <v>13</v>
      </c>
      <c r="C27" s="32" t="s">
        <v>26</v>
      </c>
      <c r="D27" s="36">
        <f>'Planilha Orçamentária'!I159</f>
        <v>13463.774499999998</v>
      </c>
      <c r="E27" s="43">
        <f t="shared" si="0"/>
        <v>0.05996124316266324</v>
      </c>
      <c r="F27" s="49"/>
      <c r="G27" s="49"/>
      <c r="H27" s="49"/>
      <c r="I27" s="58"/>
      <c r="J27" s="49">
        <f>'Planilha Orçamentária'!I154+'Planilha Orçamentária'!I155</f>
        <v>4983.088</v>
      </c>
      <c r="K27" s="49">
        <f>('Planilha Orçamentária'!I156+'Planilha Orçamentária'!I157)/2</f>
        <v>3152.265</v>
      </c>
      <c r="L27" s="49">
        <f>('Planilha Orçamentária'!I156+'Planilha Orçamentária'!I157)/2</f>
        <v>3152.265</v>
      </c>
      <c r="M27" s="49">
        <f>'Planilha Orçamentária'!I158</f>
        <v>2176.1564999999996</v>
      </c>
      <c r="N27" s="15"/>
      <c r="O27" s="28"/>
    </row>
    <row r="28" spans="2:15" ht="13.5" thickBot="1">
      <c r="B28" s="10">
        <v>14</v>
      </c>
      <c r="C28" s="33" t="s">
        <v>90</v>
      </c>
      <c r="D28" s="37">
        <f>'Planilha Orçamentária'!I164</f>
        <v>5223.967</v>
      </c>
      <c r="E28" s="43">
        <f t="shared" si="0"/>
        <v>0.023265062524682693</v>
      </c>
      <c r="F28" s="49"/>
      <c r="G28" s="49"/>
      <c r="H28" s="49"/>
      <c r="I28" s="49"/>
      <c r="J28" s="58"/>
      <c r="K28" s="58"/>
      <c r="L28" s="49">
        <f>'Planilha Orçamentária'!I161+'Planilha Orçamentária'!I162</f>
        <v>3273.4519999999998</v>
      </c>
      <c r="M28" s="49">
        <f>'Planilha Orçamentária'!I163</f>
        <v>1950.5149999999996</v>
      </c>
      <c r="N28" s="15"/>
      <c r="O28" s="28"/>
    </row>
    <row r="29" spans="2:15" ht="13.5" thickBot="1">
      <c r="B29" s="10">
        <v>15</v>
      </c>
      <c r="C29" s="32" t="s">
        <v>27</v>
      </c>
      <c r="D29" s="36">
        <f>'Planilha Orçamentária'!I171</f>
        <v>10384.810499999996</v>
      </c>
      <c r="E29" s="43">
        <f t="shared" si="0"/>
        <v>0.04624900302576208</v>
      </c>
      <c r="F29" s="49"/>
      <c r="G29" s="49"/>
      <c r="H29" s="49"/>
      <c r="I29" s="49"/>
      <c r="J29" s="49"/>
      <c r="K29" s="58"/>
      <c r="L29" s="49">
        <f>'Planilha Orçamentária'!I171/2</f>
        <v>5192.405249999998</v>
      </c>
      <c r="M29" s="49">
        <f>'Planilha Orçamentária'!I171/2</f>
        <v>5192.405249999998</v>
      </c>
      <c r="N29" s="15"/>
      <c r="O29" s="28"/>
    </row>
    <row r="30" spans="2:15" ht="13.5" thickBot="1">
      <c r="B30" s="10">
        <v>16</v>
      </c>
      <c r="C30" s="32" t="s">
        <v>28</v>
      </c>
      <c r="D30" s="36">
        <f>'Planilha Orçamentária'!I182</f>
        <v>5227.9115</v>
      </c>
      <c r="E30" s="43">
        <f t="shared" si="0"/>
        <v>0.023282629450187508</v>
      </c>
      <c r="F30" s="49"/>
      <c r="G30" s="49"/>
      <c r="H30" s="49"/>
      <c r="I30" s="49"/>
      <c r="J30" s="49"/>
      <c r="K30" s="58"/>
      <c r="L30" s="49"/>
      <c r="M30" s="49">
        <f>'Planilha Orçamentária'!I182</f>
        <v>5227.9115</v>
      </c>
      <c r="N30" s="15"/>
      <c r="O30" s="28"/>
    </row>
    <row r="31" spans="2:15" ht="13.5" thickBot="1">
      <c r="B31" s="10">
        <v>17</v>
      </c>
      <c r="C31" s="32" t="s">
        <v>45</v>
      </c>
      <c r="D31" s="36">
        <f>'Planilha Orçamentária'!I185</f>
        <v>1290.484</v>
      </c>
      <c r="E31" s="43">
        <f t="shared" si="0"/>
        <v>0.005747201494018361</v>
      </c>
      <c r="F31" s="49"/>
      <c r="G31" s="49"/>
      <c r="H31" s="49"/>
      <c r="I31" s="49"/>
      <c r="J31" s="49"/>
      <c r="K31" s="58"/>
      <c r="L31" s="49"/>
      <c r="M31" s="49">
        <f>'Planilha Orçamentária'!I185</f>
        <v>1290.484</v>
      </c>
      <c r="N31" s="15"/>
      <c r="O31" s="28"/>
    </row>
    <row r="32" spans="2:15" ht="13.5" thickBot="1">
      <c r="B32" s="12">
        <v>18</v>
      </c>
      <c r="C32" s="34" t="s">
        <v>173</v>
      </c>
      <c r="D32" s="38">
        <f>'Planilha Orçamentária'!I190</f>
        <v>1320.1425</v>
      </c>
      <c r="E32" s="43">
        <f t="shared" si="0"/>
        <v>0.005879286336225118</v>
      </c>
      <c r="F32" s="51"/>
      <c r="G32" s="51"/>
      <c r="H32" s="51"/>
      <c r="I32" s="51"/>
      <c r="J32" s="51"/>
      <c r="K32" s="59"/>
      <c r="L32" s="51"/>
      <c r="M32" s="51">
        <f>'Planilha Orçamentária'!I190</f>
        <v>1320.1425</v>
      </c>
      <c r="N32" s="15"/>
      <c r="O32" s="28"/>
    </row>
    <row r="33" spans="2:14" ht="13.5" thickBot="1">
      <c r="B33" s="5"/>
      <c r="C33" s="5"/>
      <c r="D33" s="41">
        <f>SUM(D15:D32)</f>
        <v>224541.2834999999</v>
      </c>
      <c r="E33" s="44">
        <f aca="true" t="shared" si="1" ref="E33:M33">SUM(E15:E32)</f>
        <v>1.0000000000000004</v>
      </c>
      <c r="F33" s="52">
        <f t="shared" si="1"/>
        <v>37295.971999999994</v>
      </c>
      <c r="G33" s="40">
        <f t="shared" si="1"/>
        <v>22874.400833333333</v>
      </c>
      <c r="H33" s="46">
        <f t="shared" si="1"/>
        <v>15792.43633333333</v>
      </c>
      <c r="I33" s="52">
        <f t="shared" si="1"/>
        <v>34601.761583333326</v>
      </c>
      <c r="J33" s="55">
        <f t="shared" si="1"/>
        <v>29472.527749999997</v>
      </c>
      <c r="K33" s="52">
        <f t="shared" si="1"/>
        <v>22894.556499999995</v>
      </c>
      <c r="L33" s="52">
        <f t="shared" si="1"/>
        <v>31930.859749999996</v>
      </c>
      <c r="M33" s="52">
        <f t="shared" si="1"/>
        <v>29678.768749999996</v>
      </c>
      <c r="N33" s="16">
        <f>SUM(F33:M33)</f>
        <v>224541.2835</v>
      </c>
    </row>
    <row r="34" spans="3:13" ht="12.75">
      <c r="C34" s="1" t="s">
        <v>458</v>
      </c>
      <c r="D34" s="1"/>
      <c r="E34" s="1"/>
      <c r="F34" s="1"/>
      <c r="G34" s="2"/>
      <c r="H34" s="2"/>
      <c r="I34" s="2"/>
      <c r="J34" s="2"/>
      <c r="K34" s="2"/>
      <c r="L34" s="2"/>
      <c r="M34" s="2"/>
    </row>
    <row r="35" spans="3:13" ht="12.75"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</row>
    <row r="36" spans="3:13" ht="12.75">
      <c r="C36" s="3"/>
      <c r="D36" s="5"/>
      <c r="E36" s="5"/>
      <c r="G36" s="3"/>
      <c r="H36" s="9"/>
      <c r="I36" s="9"/>
      <c r="J36" s="27"/>
      <c r="K36" s="27"/>
      <c r="L36" s="27"/>
      <c r="M36" s="27"/>
    </row>
    <row r="37" spans="2:13" ht="12.75">
      <c r="B37" s="4"/>
      <c r="C37" s="17" t="s">
        <v>456</v>
      </c>
      <c r="D37" s="17"/>
      <c r="E37" s="17"/>
      <c r="G37" s="18" t="s">
        <v>315</v>
      </c>
      <c r="H37" s="5"/>
      <c r="I37" s="5"/>
      <c r="J37" s="5"/>
      <c r="K37" s="5"/>
      <c r="L37" s="5"/>
      <c r="M37" s="5"/>
    </row>
    <row r="38" spans="2:13" ht="12.75">
      <c r="B38" s="4"/>
      <c r="C38" s="19" t="s">
        <v>247</v>
      </c>
      <c r="D38" s="19"/>
      <c r="E38" s="19"/>
      <c r="G38" s="20" t="s">
        <v>46</v>
      </c>
      <c r="H38" s="5"/>
      <c r="I38" s="5"/>
      <c r="J38" s="5"/>
      <c r="K38" s="5"/>
      <c r="L38" s="5"/>
      <c r="M38" s="5"/>
    </row>
    <row r="39" spans="2:13" ht="12.75">
      <c r="B39" s="4"/>
      <c r="C39" s="19" t="s">
        <v>457</v>
      </c>
      <c r="D39" s="19"/>
      <c r="E39" s="19"/>
      <c r="F39" s="19"/>
      <c r="G39" s="1"/>
      <c r="H39" s="1"/>
      <c r="I39" s="1"/>
      <c r="J39" s="1"/>
      <c r="K39" s="1"/>
      <c r="L39" s="1"/>
      <c r="M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60"/>
      <c r="D42" s="1"/>
      <c r="E42" s="1"/>
    </row>
  </sheetData>
  <sheetProtection/>
  <mergeCells count="4">
    <mergeCell ref="B6:G6"/>
    <mergeCell ref="B8:G8"/>
    <mergeCell ref="B2:K2"/>
    <mergeCell ref="B3:K3"/>
  </mergeCells>
  <printOptions horizontalCentered="1" verticalCentered="1"/>
  <pageMargins left="0" right="0" top="0" bottom="0" header="0" footer="0"/>
  <pageSetup horizontalDpi="300" verticalDpi="300" orientation="landscape" paperSize="9" scale="77" r:id="rId3"/>
  <legacyDrawing r:id="rId2"/>
  <oleObjects>
    <oleObject progId="PBrush" shapeId="389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R. Ramos</dc:creator>
  <cp:keywords/>
  <dc:description/>
  <cp:lastModifiedBy>Master</cp:lastModifiedBy>
  <cp:lastPrinted>2015-10-14T19:56:08Z</cp:lastPrinted>
  <dcterms:created xsi:type="dcterms:W3CDTF">2007-05-23T12:13:31Z</dcterms:created>
  <dcterms:modified xsi:type="dcterms:W3CDTF">2015-10-14T20:07:06Z</dcterms:modified>
  <cp:category/>
  <cp:version/>
  <cp:contentType/>
  <cp:contentStatus/>
</cp:coreProperties>
</file>