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10275" tabRatio="598" activeTab="0"/>
  </bookViews>
  <sheets>
    <sheet name="Planilha" sheetId="1" r:id="rId1"/>
    <sheet name="CRONOGRAMA" sheetId="2" r:id="rId2"/>
  </sheets>
  <definedNames>
    <definedName name="_xlnm.Print_Area" localSheetId="0">'Planilha'!$A$1:$I$101</definedName>
    <definedName name="_xlnm.Print_Titles" localSheetId="0">'Planilha'!$1:$13</definedName>
  </definedNames>
  <calcPr fullCalcOnLoad="1"/>
</workbook>
</file>

<file path=xl/sharedStrings.xml><?xml version="1.0" encoding="utf-8"?>
<sst xmlns="http://schemas.openxmlformats.org/spreadsheetml/2006/main" count="283" uniqueCount="209">
  <si>
    <t>Alvenaria de embasamento em tijolo maciço comum</t>
  </si>
  <si>
    <t>TOTAL GERAL</t>
  </si>
  <si>
    <t>Reaterro manual apiloado sem controle de compactação</t>
  </si>
  <si>
    <t>Lastro de pedra britada</t>
  </si>
  <si>
    <t>Chapisco</t>
  </si>
  <si>
    <t>un</t>
  </si>
  <si>
    <t>cj</t>
  </si>
  <si>
    <t>Engenheira Civil</t>
  </si>
  <si>
    <t>1.1</t>
  </si>
  <si>
    <t>1.2</t>
  </si>
  <si>
    <t>2.1</t>
  </si>
  <si>
    <t>4.1</t>
  </si>
  <si>
    <t>4.2</t>
  </si>
  <si>
    <t>4.3</t>
  </si>
  <si>
    <t>5.1</t>
  </si>
  <si>
    <t>5.2</t>
  </si>
  <si>
    <t>6.1</t>
  </si>
  <si>
    <t>6.2</t>
  </si>
  <si>
    <t>7.1</t>
  </si>
  <si>
    <t>8.1</t>
  </si>
  <si>
    <t>9.1</t>
  </si>
  <si>
    <t>10.1</t>
  </si>
  <si>
    <t>ALVENARIA E ELEMENTO DIVISOR</t>
  </si>
  <si>
    <t>COBERTURA</t>
  </si>
  <si>
    <t>REVESTIMENTO</t>
  </si>
  <si>
    <t>PINTURA</t>
  </si>
  <si>
    <t>3.2</t>
  </si>
  <si>
    <t>3.3</t>
  </si>
  <si>
    <t>3.4</t>
  </si>
  <si>
    <t>3.5</t>
  </si>
  <si>
    <t>3.6</t>
  </si>
  <si>
    <t>3.7</t>
  </si>
  <si>
    <t>3.8</t>
  </si>
  <si>
    <t>Construção provisória em madeira - fornecimento e montagem</t>
  </si>
  <si>
    <t>Lançamento e adensamento de concreto ou massa em fundação</t>
  </si>
  <si>
    <t>Impermeabilização em pintura de asfalto oxidado com solventes orgânicos, sobre massa</t>
  </si>
  <si>
    <t>Impermeabilização em argamassa impermeável com aditivo hidrófugo</t>
  </si>
  <si>
    <t>kg</t>
  </si>
  <si>
    <t>TOTAIS</t>
  </si>
  <si>
    <t>UNIDADE</t>
  </si>
  <si>
    <t>VALOR UNITÁRIO</t>
  </si>
  <si>
    <t>VALOR TOTAL</t>
  </si>
  <si>
    <t>ITEM</t>
  </si>
  <si>
    <t>valores em R$</t>
  </si>
  <si>
    <t>QUANT.</t>
  </si>
  <si>
    <t xml:space="preserve"> </t>
  </si>
  <si>
    <r>
      <t xml:space="preserve">                                             </t>
    </r>
    <r>
      <rPr>
        <b/>
        <sz val="18"/>
        <rFont val="Times New Roman"/>
        <family val="1"/>
      </rPr>
      <t>ESTADO DE SÃO PAULO</t>
    </r>
  </si>
  <si>
    <t>PLANILHA ORÇAMENTÁRIA PARA OBRAS</t>
  </si>
  <si>
    <t>DESCRIÇÃO DOS SERVIÇOS</t>
  </si>
  <si>
    <t>m²</t>
  </si>
  <si>
    <t>Placa de identificação para obra</t>
  </si>
  <si>
    <t>m</t>
  </si>
  <si>
    <t>m³</t>
  </si>
  <si>
    <t>Locação de obra de edificação</t>
  </si>
  <si>
    <t>Disjuntor termomagnético, unipolar 127/220 V, corrente de 10 A até 30 A</t>
  </si>
  <si>
    <t>Eletroduto de PVC corrugado flexível leve, diâmetro externo de 25 mm</t>
  </si>
  <si>
    <t>INFRAESTRUTURA</t>
  </si>
  <si>
    <t>SUPERESTRUTURA</t>
  </si>
  <si>
    <t>SERVIÇOS INICIAIS</t>
  </si>
  <si>
    <t>3.1</t>
  </si>
  <si>
    <t>3.9</t>
  </si>
  <si>
    <t>4.5</t>
  </si>
  <si>
    <t>7.2</t>
  </si>
  <si>
    <t>10.2</t>
  </si>
  <si>
    <t>10.3</t>
  </si>
  <si>
    <t>10.4</t>
  </si>
  <si>
    <t>10.5</t>
  </si>
  <si>
    <t>10.6</t>
  </si>
  <si>
    <t>SERVIÇOS PRELIMINARES E APOIO</t>
  </si>
  <si>
    <t xml:space="preserve">            PREFEITURA MUNICIPAL DE CERQUEIRA CÉSAR</t>
  </si>
  <si>
    <t xml:space="preserve">                                         Departamento de Engenharia</t>
  </si>
  <si>
    <t>ESQUADRIAS E ELEMENTOS EM FERRO</t>
  </si>
  <si>
    <t>INÍCIO</t>
  </si>
  <si>
    <t>Forma em madeira comum para estrutura</t>
  </si>
  <si>
    <t>Mauro Roberto Bogado da Cunha</t>
  </si>
  <si>
    <t>CREA 0605206262</t>
  </si>
  <si>
    <t>4.6</t>
  </si>
  <si>
    <t>Esmalte em superfície metálica, inclusive preparo</t>
  </si>
  <si>
    <t xml:space="preserve">                                         Area a construir:</t>
  </si>
  <si>
    <t>m2</t>
  </si>
  <si>
    <t xml:space="preserve">                            Preço por metro quadrado:</t>
  </si>
  <si>
    <t>Reboco</t>
  </si>
  <si>
    <t>Tinta látex antimofo em massa, inclusive preparo</t>
  </si>
  <si>
    <t xml:space="preserve">INSTALAÇÕES ELÉTRICAS </t>
  </si>
  <si>
    <t xml:space="preserve">                TOTAIS</t>
  </si>
  <si>
    <t xml:space="preserve">                 TOTAIS</t>
  </si>
  <si>
    <t>3.10</t>
  </si>
  <si>
    <t>Calha, rufo, condutores, afins em chapa galvanizada nº 24 - corte 0,33 m</t>
  </si>
  <si>
    <t>CÓDIGO CPOS 169</t>
  </si>
  <si>
    <t>OBRA: CONSTRUÇÃO DE DUAS SALAS DE AULA NA EMEIEF PROFESSORA ZELY MEIRA CACCIOLARI</t>
  </si>
  <si>
    <t>LOCAL: RUA DAS VIOLETAS Nº 80 - BAIRRO JARDIM BELA VISTA - CERQUEIRA CÉSAR - SP.</t>
  </si>
  <si>
    <t>02.01.020</t>
  </si>
  <si>
    <t>02.08.020</t>
  </si>
  <si>
    <t>02.10.020</t>
  </si>
  <si>
    <t>12.01.040</t>
  </si>
  <si>
    <t>Broca em concreto armado diâmetro de 25 cm - completa</t>
  </si>
  <si>
    <t>06.01.020</t>
  </si>
  <si>
    <t>Escavação manual em solo de 1ª e 2ª categoria em campo aberto baldrame e blocos</t>
  </si>
  <si>
    <t>06.11.040</t>
  </si>
  <si>
    <t>10.01.040</t>
  </si>
  <si>
    <t>Armadura em barra de aço CA-50 (A ou B) fyk = 500 Mpa    (3/8")</t>
  </si>
  <si>
    <t>10.01.060</t>
  </si>
  <si>
    <t>Armadura em barra de aço CA-60 (A ou B) fyk = 600 Mpa            (5,00mm)</t>
  </si>
  <si>
    <t>11.01.130</t>
  </si>
  <si>
    <t>11.16.040</t>
  </si>
  <si>
    <t>11.18.040</t>
  </si>
  <si>
    <t>32.16.010</t>
  </si>
  <si>
    <t>32.17.010</t>
  </si>
  <si>
    <t>09.01.020</t>
  </si>
  <si>
    <t>Forma em madeira comum para fundação</t>
  </si>
  <si>
    <t>3.11</t>
  </si>
  <si>
    <t>09.01.030</t>
  </si>
  <si>
    <t xml:space="preserve">Concreto usinado, fck = 25,0 MPa </t>
  </si>
  <si>
    <t>11.16.060</t>
  </si>
  <si>
    <t>Lançamento e adensamento de concreto ou massa em estrutura</t>
  </si>
  <si>
    <t>14.10.110</t>
  </si>
  <si>
    <t>Alvenaria de bloco de concreto de vedação, uso revestido, de 14 cm</t>
  </si>
  <si>
    <t>14.01.020</t>
  </si>
  <si>
    <t>15.01.140</t>
  </si>
  <si>
    <t>16.03.010</t>
  </si>
  <si>
    <t>6.3</t>
  </si>
  <si>
    <t>Telhamento em cimento reforçado com fio sintético CRFS - perfil ondulado de 6 mm</t>
  </si>
  <si>
    <t>Estrutura de madeira tesoura para telha perfil ondulado - vãos 13,01 a 18,00 m</t>
  </si>
  <si>
    <t>16.33.020</t>
  </si>
  <si>
    <t>17.02.020</t>
  </si>
  <si>
    <t>17.02.220</t>
  </si>
  <si>
    <t>24.01.030</t>
  </si>
  <si>
    <t>Caixilho em ferro basculante, sob medida</t>
  </si>
  <si>
    <t>ESQUADRIAS E ELEMENTOS DE MADEIRA</t>
  </si>
  <si>
    <t>23.11.050</t>
  </si>
  <si>
    <t>Porta lisa para acabamento em verniz, com batente de madeira - 90 x 210 cm</t>
  </si>
  <si>
    <t>unidade</t>
  </si>
  <si>
    <t>11.1</t>
  </si>
  <si>
    <t>PISO CERAMICO</t>
  </si>
  <si>
    <t>18.06.020</t>
  </si>
  <si>
    <t>Piso cerâmico esmaltado PEI-4 resistência química A, para áreas internas sujeitas à lavagem frequente, assentado com argamassa colante industrializada</t>
  </si>
  <si>
    <t>Rodapé cerâmico esmaltado PEI-4 resistência química A, para áreas internas sujeitas à lavagem frequente, assentado com argamassa colante industrializada</t>
  </si>
  <si>
    <t>18.06.040</t>
  </si>
  <si>
    <t>18.06.430</t>
  </si>
  <si>
    <t>Rejuntamento de piso em placas cerâmicas com argamassa industrializada para rejunte, juntas acima de 5 até 10 mm</t>
  </si>
  <si>
    <t>18.06.510</t>
  </si>
  <si>
    <t>Rejuntamento de rodapé em placas cerâmicas com argamassa industrializada para rejunte, altura até 10 cm, juntas acima de 3 até 5 mm</t>
  </si>
  <si>
    <t>11.16.020</t>
  </si>
  <si>
    <t>Lançamento, espalhamento e adensamento de concreto ou massa em lastro e/ou enchimento</t>
  </si>
  <si>
    <t>33.03.350</t>
  </si>
  <si>
    <t>Pintura especial em esmalte para lousa cor verde</t>
  </si>
  <si>
    <t>Massa corrida a óleo em superfície rebocada</t>
  </si>
  <si>
    <t>33.02.120</t>
  </si>
  <si>
    <t>33.11.020</t>
  </si>
  <si>
    <t>33.10.100</t>
  </si>
  <si>
    <t>Textura acrílica para uso interno / externo, inclusive preparo</t>
  </si>
  <si>
    <t>33.05.330</t>
  </si>
  <si>
    <t>Verniz em superfície de madeira</t>
  </si>
  <si>
    <t>FORRO DE MADEIRA</t>
  </si>
  <si>
    <t>22.01.020</t>
  </si>
  <si>
    <t>Forro em tábuas aparelhadas macho e fêmea de pinus tarugado</t>
  </si>
  <si>
    <t>41.14.280</t>
  </si>
  <si>
    <t>Luminária retangular de sobrepor tipo calha aberta com refletor em chapa de aço pintada para 2 lâmpadas fluorescentes tubulares 32/36W</t>
  </si>
  <si>
    <t>41.07.320</t>
  </si>
  <si>
    <t>Lâmpada fluorescente tubular "HO", base bipino bilateral de 110 W</t>
  </si>
  <si>
    <t>37.13.600</t>
  </si>
  <si>
    <t>Reator eletrônico de alto fator de potência com partida instantânea, para duas lâmpadas fluorescentes tubulares "HO", base bipino bilateral, 110 W - 220 V</t>
  </si>
  <si>
    <t>41.09.830</t>
  </si>
  <si>
    <t>um</t>
  </si>
  <si>
    <t>38.19.030</t>
  </si>
  <si>
    <t>39.03.170</t>
  </si>
  <si>
    <t>Cabo de cobre de 2,5 mm², isolamento 0,6/1 kV - isolação em PVC 70°C</t>
  </si>
  <si>
    <t>40.04.450</t>
  </si>
  <si>
    <t>Interruptor com 2 teclas simples e placa</t>
  </si>
  <si>
    <t>Tomada 2P+T de 10 A - 250 V, completa</t>
  </si>
  <si>
    <t>VALOR TOTAL com 15% de BDI</t>
  </si>
  <si>
    <t xml:space="preserve">            valores em R$</t>
  </si>
  <si>
    <t>1º Mês</t>
  </si>
  <si>
    <t xml:space="preserve">2º Mês </t>
  </si>
  <si>
    <t>3º Mês</t>
  </si>
  <si>
    <t xml:space="preserve">4º Mês </t>
  </si>
  <si>
    <t>Valor Total</t>
  </si>
  <si>
    <t>Valores em R$</t>
  </si>
  <si>
    <t>INICIO</t>
  </si>
  <si>
    <t>ESQUADRIAS E ELEMENTOS DE FERRO</t>
  </si>
  <si>
    <t>INSTALAÇÕES ELETRICAS</t>
  </si>
  <si>
    <t>TOTAL</t>
  </si>
  <si>
    <t xml:space="preserve"> PREFEITURA MUNICIPAL DE</t>
  </si>
  <si>
    <t xml:space="preserve">       CERQUEIRA CÉSAR</t>
  </si>
  <si>
    <t xml:space="preserve">         Departamento de Engenharia</t>
  </si>
  <si>
    <r>
      <rPr>
        <b/>
        <sz val="10"/>
        <rFont val="Times New Roman"/>
        <family val="1"/>
      </rPr>
      <t>LOCAL:</t>
    </r>
    <r>
      <rPr>
        <sz val="10"/>
        <rFont val="Times New Roman"/>
        <family val="1"/>
      </rPr>
      <t xml:space="preserve"> RUA DAS VIOLETAS Nº 80 - BAIRRO JARDIM BELA VISTA - CEERQUEIRA CESAR - SP.</t>
    </r>
  </si>
  <si>
    <r>
      <rPr>
        <b/>
        <sz val="10"/>
        <rFont val="Times New Roman"/>
        <family val="1"/>
      </rPr>
      <t>OBRA:</t>
    </r>
    <r>
      <rPr>
        <sz val="10"/>
        <rFont val="Times New Roman"/>
        <family val="1"/>
      </rPr>
      <t xml:space="preserve"> CONSTRUÇÃO DE DUAS SALAS DE AULA NA EMEIEF PROFESSORA ZELY MEIRA CACCIOLARI</t>
    </r>
  </si>
  <si>
    <t xml:space="preserve">                                       CRONOGRAMA FISICO FINANCEIRO</t>
  </si>
  <si>
    <t>CERQUEIRA CESAR, 28 DE ABRIL DE 2017</t>
  </si>
  <si>
    <t>MAURO ROBERTO BOGADO DA CUNHA</t>
  </si>
  <si>
    <t xml:space="preserve">                CREA: 0605206262</t>
  </si>
  <si>
    <t xml:space="preserve">               ENGENHEIRO CIVIL</t>
  </si>
  <si>
    <t>12.1</t>
  </si>
  <si>
    <t>12.2</t>
  </si>
  <si>
    <t>12.3</t>
  </si>
  <si>
    <t>12.4</t>
  </si>
  <si>
    <t>12.5</t>
  </si>
  <si>
    <t>12.6</t>
  </si>
  <si>
    <t>13.1</t>
  </si>
  <si>
    <t>13.2</t>
  </si>
  <si>
    <t>13.3</t>
  </si>
  <si>
    <t>13.4</t>
  </si>
  <si>
    <t>13.5</t>
  </si>
  <si>
    <t>13.6</t>
  </si>
  <si>
    <t>13.7</t>
  </si>
  <si>
    <t>13.8</t>
  </si>
  <si>
    <t>Cerqueira Cesar, 28 de Abril de 2017</t>
  </si>
  <si>
    <t>40.05.040</t>
  </si>
  <si>
    <t>33.10.010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</si>
</sst>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&quot;R$ &quot;#,##0.00"/>
    <numFmt numFmtId="187" formatCode="0.0"/>
    <numFmt numFmtId="188" formatCode="0.0000"/>
    <numFmt numFmtId="189" formatCode="_(* #,##0.000000000000_);_(* \(#,##0.000000000000\);_(* &quot;-&quot;????????????_);_(@_)"/>
    <numFmt numFmtId="190" formatCode="[$-416]dddd\,\ d&quot; de &quot;mmmm&quot; de &quot;yyyy"/>
    <numFmt numFmtId="191" formatCode="0.000000000000%"/>
    <numFmt numFmtId="192" formatCode="0.000%"/>
    <numFmt numFmtId="193" formatCode="0.0000%"/>
    <numFmt numFmtId="194" formatCode="0.00000%"/>
  </numFmts>
  <fonts count="68">
    <font>
      <sz val="10"/>
      <name val="Arial"/>
      <family val="0"/>
    </font>
    <font>
      <sz val="10"/>
      <color indexed="56"/>
      <name val="Verdana"/>
      <family val="2"/>
    </font>
    <font>
      <b/>
      <sz val="11"/>
      <color indexed="56"/>
      <name val="Verdana"/>
      <family val="2"/>
    </font>
    <font>
      <sz val="11"/>
      <name val="Verdana"/>
      <family val="2"/>
    </font>
    <font>
      <b/>
      <sz val="22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2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7"/>
      <name val="Verdana"/>
      <family val="2"/>
    </font>
    <font>
      <b/>
      <sz val="18"/>
      <name val="Arial"/>
      <family val="2"/>
    </font>
    <font>
      <sz val="16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b/>
      <sz val="12"/>
      <color indexed="10"/>
      <name val="Verdana"/>
      <family val="2"/>
    </font>
    <font>
      <sz val="11"/>
      <color indexed="10"/>
      <name val="Verdana"/>
      <family val="2"/>
    </font>
    <font>
      <sz val="12"/>
      <color indexed="10"/>
      <name val="Verdana"/>
      <family val="2"/>
    </font>
    <font>
      <b/>
      <sz val="22"/>
      <color indexed="10"/>
      <name val="Arial"/>
      <family val="2"/>
    </font>
    <font>
      <sz val="2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12"/>
      <color rgb="FFFF0000"/>
      <name val="Verdana"/>
      <family val="2"/>
    </font>
    <font>
      <sz val="11"/>
      <color rgb="FFFF0000"/>
      <name val="Verdana"/>
      <family val="2"/>
    </font>
    <font>
      <sz val="12"/>
      <color rgb="FFFF0000"/>
      <name val="Verdana"/>
      <family val="2"/>
    </font>
    <font>
      <b/>
      <sz val="22"/>
      <color rgb="FFFF0000"/>
      <name val="Arial"/>
      <family val="2"/>
    </font>
    <font>
      <sz val="2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6"/>
      </left>
      <right style="medium"/>
      <top>
        <color indexed="63"/>
      </top>
      <bottom>
        <color indexed="63"/>
      </bottom>
    </border>
    <border>
      <left style="medium">
        <color indexed="56"/>
      </left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56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56"/>
      </left>
      <right style="medium"/>
      <top style="medium"/>
      <bottom>
        <color indexed="63"/>
      </bottom>
    </border>
    <border>
      <left>
        <color indexed="63"/>
      </left>
      <right style="medium">
        <color indexed="56"/>
      </right>
      <top style="medium"/>
      <bottom>
        <color indexed="63"/>
      </bottom>
    </border>
    <border>
      <left style="medium"/>
      <right style="medium">
        <color indexed="56"/>
      </right>
      <top style="medium"/>
      <bottom>
        <color indexed="63"/>
      </bottom>
    </border>
    <border>
      <left style="medium"/>
      <right style="medium">
        <color indexed="56"/>
      </right>
      <top>
        <color indexed="63"/>
      </top>
      <bottom style="medium"/>
    </border>
    <border>
      <left style="medium">
        <color indexed="56"/>
      </left>
      <right>
        <color indexed="63"/>
      </right>
      <top style="medium"/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shrinkToFit="1"/>
    </xf>
    <xf numFmtId="1" fontId="1" fillId="0" borderId="0" xfId="0" applyNumberFormat="1" applyFont="1" applyAlignment="1">
      <alignment/>
    </xf>
    <xf numFmtId="1" fontId="7" fillId="0" borderId="11" xfId="0" applyNumberFormat="1" applyFont="1" applyFill="1" applyBorder="1" applyAlignment="1">
      <alignment shrinkToFit="1"/>
    </xf>
    <xf numFmtId="0" fontId="1" fillId="0" borderId="0" xfId="0" applyFont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94" fontId="1" fillId="0" borderId="0" xfId="0" applyNumberFormat="1" applyFont="1" applyAlignment="1">
      <alignment/>
    </xf>
    <xf numFmtId="194" fontId="1" fillId="0" borderId="0" xfId="0" applyNumberFormat="1" applyFont="1" applyBorder="1" applyAlignment="1">
      <alignment/>
    </xf>
    <xf numFmtId="194" fontId="1" fillId="0" borderId="0" xfId="0" applyNumberFormat="1" applyFont="1" applyBorder="1" applyAlignment="1">
      <alignment horizontal="center" vertical="center"/>
    </xf>
    <xf numFmtId="19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1" fontId="12" fillId="33" borderId="15" xfId="0" applyNumberFormat="1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center" vertical="center" wrapText="1"/>
    </xf>
    <xf numFmtId="17" fontId="12" fillId="33" borderId="15" xfId="0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/>
    </xf>
    <xf numFmtId="1" fontId="10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/>
    </xf>
    <xf numFmtId="4" fontId="10" fillId="0" borderId="22" xfId="53" applyNumberFormat="1" applyFont="1" applyFill="1" applyBorder="1" applyAlignment="1">
      <alignment horizontal="center" vertical="center"/>
    </xf>
    <xf numFmtId="43" fontId="12" fillId="0" borderId="24" xfId="0" applyNumberFormat="1" applyFont="1" applyFill="1" applyBorder="1" applyAlignment="1" applyProtection="1">
      <alignment vertical="center"/>
      <protection hidden="1" locked="0"/>
    </xf>
    <xf numFmtId="4" fontId="10" fillId="0" borderId="19" xfId="53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43" fontId="12" fillId="0" borderId="25" xfId="0" applyNumberFormat="1" applyFont="1" applyFill="1" applyBorder="1" applyAlignment="1" applyProtection="1">
      <alignment vertical="center"/>
      <protection hidden="1" locked="0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1" fontId="1" fillId="34" borderId="27" xfId="0" applyNumberFormat="1" applyFont="1" applyFill="1" applyBorder="1" applyAlignment="1">
      <alignment vertical="center"/>
    </xf>
    <xf numFmtId="0" fontId="10" fillId="34" borderId="15" xfId="0" applyFont="1" applyFill="1" applyBorder="1" applyAlignment="1">
      <alignment vertical="center"/>
    </xf>
    <xf numFmtId="0" fontId="10" fillId="34" borderId="15" xfId="0" applyFont="1" applyFill="1" applyBorder="1" applyAlignment="1">
      <alignment vertical="center" wrapText="1"/>
    </xf>
    <xf numFmtId="0" fontId="12" fillId="34" borderId="15" xfId="0" applyFont="1" applyFill="1" applyBorder="1" applyAlignment="1">
      <alignment vertical="center"/>
    </xf>
    <xf numFmtId="0" fontId="10" fillId="34" borderId="15" xfId="0" applyFont="1" applyFill="1" applyBorder="1" applyAlignment="1">
      <alignment horizontal="center" vertical="center"/>
    </xf>
    <xf numFmtId="43" fontId="12" fillId="34" borderId="28" xfId="0" applyNumberFormat="1" applyFont="1" applyFill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1" fontId="12" fillId="10" borderId="14" xfId="0" applyNumberFormat="1" applyFont="1" applyFill="1" applyBorder="1" applyAlignment="1">
      <alignment horizontal="center" vertical="center"/>
    </xf>
    <xf numFmtId="43" fontId="12" fillId="10" borderId="13" xfId="0" applyNumberFormat="1" applyFont="1" applyFill="1" applyBorder="1" applyAlignment="1">
      <alignment horizontal="center" vertical="center"/>
    </xf>
    <xf numFmtId="43" fontId="16" fillId="10" borderId="13" xfId="0" applyNumberFormat="1" applyFont="1" applyFill="1" applyBorder="1" applyAlignment="1">
      <alignment horizontal="left" vertical="center"/>
    </xf>
    <xf numFmtId="43" fontId="16" fillId="10" borderId="13" xfId="0" applyNumberFormat="1" applyFont="1" applyFill="1" applyBorder="1" applyAlignment="1">
      <alignment horizontal="center" vertical="center"/>
    </xf>
    <xf numFmtId="1" fontId="12" fillId="10" borderId="27" xfId="0" applyNumberFormat="1" applyFont="1" applyFill="1" applyBorder="1" applyAlignment="1">
      <alignment horizontal="center" vertical="center"/>
    </xf>
    <xf numFmtId="43" fontId="12" fillId="10" borderId="15" xfId="0" applyNumberFormat="1" applyFont="1" applyFill="1" applyBorder="1" applyAlignment="1">
      <alignment horizontal="center" vertical="center"/>
    </xf>
    <xf numFmtId="43" fontId="16" fillId="10" borderId="15" xfId="0" applyNumberFormat="1" applyFont="1" applyFill="1" applyBorder="1" applyAlignment="1">
      <alignment horizontal="left" vertical="center"/>
    </xf>
    <xf numFmtId="43" fontId="16" fillId="10" borderId="15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Fill="1" applyBorder="1" applyAlignment="1">
      <alignment horizontal="right" vertical="center" shrinkToFit="1"/>
    </xf>
    <xf numFmtId="2" fontId="11" fillId="0" borderId="13" xfId="0" applyNumberFormat="1" applyFont="1" applyFill="1" applyBorder="1" applyAlignment="1">
      <alignment horizontal="right" vertical="center" shrinkToFit="1"/>
    </xf>
    <xf numFmtId="2" fontId="12" fillId="33" borderId="15" xfId="0" applyNumberFormat="1" applyFont="1" applyFill="1" applyBorder="1" applyAlignment="1">
      <alignment horizontal="right" vertical="center" wrapText="1"/>
    </xf>
    <xf numFmtId="2" fontId="16" fillId="10" borderId="13" xfId="0" applyNumberFormat="1" applyFont="1" applyFill="1" applyBorder="1" applyAlignment="1">
      <alignment horizontal="right" vertical="center"/>
    </xf>
    <xf numFmtId="2" fontId="16" fillId="10" borderId="15" xfId="0" applyNumberFormat="1" applyFont="1" applyFill="1" applyBorder="1" applyAlignment="1">
      <alignment horizontal="right" vertical="center"/>
    </xf>
    <xf numFmtId="2" fontId="10" fillId="34" borderId="30" xfId="0" applyNumberFormat="1" applyFont="1" applyFill="1" applyBorder="1" applyAlignment="1">
      <alignment horizontal="right" vertical="center"/>
    </xf>
    <xf numFmtId="2" fontId="10" fillId="0" borderId="16" xfId="0" applyNumberFormat="1" applyFont="1" applyBorder="1" applyAlignment="1">
      <alignment horizontal="right"/>
    </xf>
    <xf numFmtId="0" fontId="62" fillId="0" borderId="0" xfId="0" applyFont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13" xfId="0" applyFont="1" applyFill="1" applyBorder="1" applyAlignment="1">
      <alignment horizontal="center" vertical="center" shrinkToFit="1"/>
    </xf>
    <xf numFmtId="0" fontId="62" fillId="34" borderId="15" xfId="0" applyFont="1" applyFill="1" applyBorder="1" applyAlignment="1">
      <alignment horizontal="center" vertical="center"/>
    </xf>
    <xf numFmtId="0" fontId="62" fillId="0" borderId="16" xfId="0" applyFont="1" applyBorder="1" applyAlignment="1">
      <alignment/>
    </xf>
    <xf numFmtId="43" fontId="12" fillId="0" borderId="14" xfId="0" applyNumberFormat="1" applyFont="1" applyFill="1" applyBorder="1" applyAlignment="1">
      <alignment vertical="center"/>
    </xf>
    <xf numFmtId="43" fontId="12" fillId="0" borderId="13" xfId="0" applyNumberFormat="1" applyFont="1" applyFill="1" applyBorder="1" applyAlignment="1">
      <alignment vertical="center"/>
    </xf>
    <xf numFmtId="43" fontId="12" fillId="0" borderId="31" xfId="0" applyNumberFormat="1" applyFont="1" applyFill="1" applyBorder="1" applyAlignment="1">
      <alignment vertical="center"/>
    </xf>
    <xf numFmtId="0" fontId="0" fillId="0" borderId="26" xfId="0" applyFont="1" applyBorder="1" applyAlignment="1">
      <alignment horizontal="center" wrapText="1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4" fontId="10" fillId="0" borderId="22" xfId="0" applyNumberFormat="1" applyFont="1" applyFill="1" applyBorder="1" applyAlignment="1" applyProtection="1">
      <alignment horizontal="center" vertical="center"/>
      <protection locked="0"/>
    </xf>
    <xf numFmtId="43" fontId="16" fillId="10" borderId="10" xfId="0" applyNumberFormat="1" applyFont="1" applyFill="1" applyBorder="1" applyAlignment="1">
      <alignment horizontal="center" vertical="center"/>
    </xf>
    <xf numFmtId="43" fontId="16" fillId="10" borderId="10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1" fillId="35" borderId="32" xfId="0" applyFont="1" applyFill="1" applyBorder="1" applyAlignment="1">
      <alignment wrapText="1"/>
    </xf>
    <xf numFmtId="0" fontId="1" fillId="35" borderId="33" xfId="0" applyFont="1" applyFill="1" applyBorder="1" applyAlignment="1">
      <alignment/>
    </xf>
    <xf numFmtId="0" fontId="1" fillId="35" borderId="34" xfId="0" applyFont="1" applyFill="1" applyBorder="1" applyAlignment="1">
      <alignment horizontal="left"/>
    </xf>
    <xf numFmtId="0" fontId="1" fillId="35" borderId="35" xfId="0" applyFont="1" applyFill="1" applyBorder="1" applyAlignment="1">
      <alignment wrapText="1"/>
    </xf>
    <xf numFmtId="7" fontId="1" fillId="35" borderId="16" xfId="0" applyNumberFormat="1" applyFont="1" applyFill="1" applyBorder="1" applyAlignment="1">
      <alignment/>
    </xf>
    <xf numFmtId="0" fontId="1" fillId="35" borderId="36" xfId="0" applyFont="1" applyFill="1" applyBorder="1" applyAlignment="1">
      <alignment horizontal="center"/>
    </xf>
    <xf numFmtId="0" fontId="0" fillId="0" borderId="26" xfId="0" applyBorder="1" applyAlignment="1">
      <alignment wrapText="1"/>
    </xf>
    <xf numFmtId="1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1" fontId="13" fillId="0" borderId="12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right"/>
    </xf>
    <xf numFmtId="1" fontId="10" fillId="0" borderId="12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17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62" fillId="0" borderId="0" xfId="0" applyFont="1" applyBorder="1" applyAlignment="1">
      <alignment/>
    </xf>
    <xf numFmtId="1" fontId="1" fillId="0" borderId="14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2" fontId="10" fillId="0" borderId="13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right" vertical="center" wrapText="1"/>
    </xf>
    <xf numFmtId="0" fontId="12" fillId="33" borderId="30" xfId="0" applyFont="1" applyFill="1" applyBorder="1" applyAlignment="1">
      <alignment horizontal="center" vertical="center"/>
    </xf>
    <xf numFmtId="43" fontId="12" fillId="10" borderId="37" xfId="0" applyNumberFormat="1" applyFont="1" applyFill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 vertical="center" wrapText="1"/>
    </xf>
    <xf numFmtId="43" fontId="12" fillId="10" borderId="30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4" fontId="12" fillId="0" borderId="38" xfId="0" applyNumberFormat="1" applyFont="1" applyBorder="1" applyAlignment="1">
      <alignment horizontal="center" vertical="center" wrapText="1"/>
    </xf>
    <xf numFmtId="39" fontId="12" fillId="0" borderId="2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2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71" fontId="0" fillId="0" borderId="22" xfId="53" applyNumberFormat="1" applyFont="1" applyBorder="1" applyAlignment="1">
      <alignment/>
    </xf>
    <xf numFmtId="0" fontId="0" fillId="0" borderId="22" xfId="0" applyBorder="1" applyAlignment="1">
      <alignment horizontal="left" vertical="center" wrapText="1"/>
    </xf>
    <xf numFmtId="4" fontId="0" fillId="0" borderId="22" xfId="53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43" fontId="12" fillId="10" borderId="10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12" fillId="35" borderId="30" xfId="0" applyFont="1" applyFill="1" applyBorder="1" applyAlignment="1">
      <alignment horizontal="center" vertical="center"/>
    </xf>
    <xf numFmtId="4" fontId="0" fillId="35" borderId="38" xfId="0" applyNumberFormat="1" applyFont="1" applyFill="1" applyBorder="1" applyAlignment="1">
      <alignment horizontal="center" vertical="center" wrapText="1"/>
    </xf>
    <xf numFmtId="4" fontId="12" fillId="35" borderId="38" xfId="0" applyNumberFormat="1" applyFont="1" applyFill="1" applyBorder="1" applyAlignment="1">
      <alignment horizontal="center" vertical="center" wrapText="1"/>
    </xf>
    <xf numFmtId="43" fontId="12" fillId="35" borderId="30" xfId="0" applyNumberFormat="1" applyFont="1" applyFill="1" applyBorder="1" applyAlignment="1">
      <alignment horizontal="center" vertical="center"/>
    </xf>
    <xf numFmtId="39" fontId="12" fillId="35" borderId="24" xfId="0" applyNumberFormat="1" applyFont="1" applyFill="1" applyBorder="1" applyAlignment="1" applyProtection="1">
      <alignment horizontal="center" vertical="center"/>
      <protection hidden="1" locked="0"/>
    </xf>
    <xf numFmtId="43" fontId="12" fillId="35" borderId="24" xfId="0" applyNumberFormat="1" applyFont="1" applyFill="1" applyBorder="1" applyAlignment="1" applyProtection="1">
      <alignment vertical="center"/>
      <protection hidden="1" locked="0"/>
    </xf>
    <xf numFmtId="43" fontId="12" fillId="35" borderId="25" xfId="0" applyNumberFormat="1" applyFont="1" applyFill="1" applyBorder="1" applyAlignment="1" applyProtection="1">
      <alignment vertical="center"/>
      <protection hidden="1" locked="0"/>
    </xf>
    <xf numFmtId="43" fontId="12" fillId="35" borderId="28" xfId="0" applyNumberFormat="1" applyFont="1" applyFill="1" applyBorder="1" applyAlignment="1">
      <alignment vertical="center"/>
    </xf>
    <xf numFmtId="0" fontId="62" fillId="35" borderId="42" xfId="0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 vertical="center" wrapText="1"/>
    </xf>
    <xf numFmtId="43" fontId="12" fillId="0" borderId="37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/>
    </xf>
    <xf numFmtId="0" fontId="4" fillId="0" borderId="42" xfId="0" applyFont="1" applyBorder="1" applyAlignment="1">
      <alignment/>
    </xf>
    <xf numFmtId="0" fontId="13" fillId="0" borderId="42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right"/>
    </xf>
    <xf numFmtId="0" fontId="1" fillId="0" borderId="37" xfId="0" applyFont="1" applyBorder="1" applyAlignment="1">
      <alignment/>
    </xf>
    <xf numFmtId="0" fontId="10" fillId="0" borderId="43" xfId="0" applyFont="1" applyFill="1" applyBorder="1" applyAlignment="1">
      <alignment/>
    </xf>
    <xf numFmtId="0" fontId="3" fillId="0" borderId="42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vertical="center" shrinkToFit="1"/>
    </xf>
    <xf numFmtId="0" fontId="11" fillId="0" borderId="37" xfId="0" applyFont="1" applyFill="1" applyBorder="1" applyAlignment="1">
      <alignment vertical="center" shrinkToFit="1"/>
    </xf>
    <xf numFmtId="1" fontId="12" fillId="33" borderId="14" xfId="0" applyNumberFormat="1" applyFont="1" applyFill="1" applyBorder="1" applyAlignment="1">
      <alignment horizontal="center" vertical="center"/>
    </xf>
    <xf numFmtId="1" fontId="12" fillId="0" borderId="44" xfId="0" applyNumberFormat="1" applyFont="1" applyFill="1" applyBorder="1" applyAlignment="1">
      <alignment horizontal="center" vertical="center"/>
    </xf>
    <xf numFmtId="1" fontId="12" fillId="0" borderId="45" xfId="0" applyNumberFormat="1" applyFont="1" applyFill="1" applyBorder="1" applyAlignment="1">
      <alignment horizontal="center" vertical="center"/>
    </xf>
    <xf numFmtId="17" fontId="11" fillId="0" borderId="30" xfId="0" applyNumberFormat="1" applyFont="1" applyFill="1" applyBorder="1" applyAlignment="1">
      <alignment horizontal="center" vertical="center"/>
    </xf>
    <xf numFmtId="0" fontId="10" fillId="0" borderId="42" xfId="0" applyFont="1" applyBorder="1" applyAlignment="1">
      <alignment/>
    </xf>
    <xf numFmtId="4" fontId="0" fillId="35" borderId="46" xfId="53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62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66" fillId="35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13" fillId="35" borderId="0" xfId="0" applyFont="1" applyFill="1" applyBorder="1" applyAlignment="1">
      <alignment horizontal="center"/>
    </xf>
    <xf numFmtId="0" fontId="67" fillId="35" borderId="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43" xfId="0" applyFill="1" applyBorder="1" applyAlignment="1">
      <alignment/>
    </xf>
    <xf numFmtId="1" fontId="0" fillId="35" borderId="12" xfId="0" applyNumberFormat="1" applyFill="1" applyBorder="1" applyAlignment="1">
      <alignment/>
    </xf>
    <xf numFmtId="1" fontId="4" fillId="35" borderId="12" xfId="0" applyNumberFormat="1" applyFont="1" applyFill="1" applyBorder="1" applyAlignment="1">
      <alignment/>
    </xf>
    <xf numFmtId="0" fontId="66" fillId="35" borderId="42" xfId="0" applyFont="1" applyFill="1" applyBorder="1" applyAlignment="1">
      <alignment horizontal="center"/>
    </xf>
    <xf numFmtId="1" fontId="13" fillId="35" borderId="12" xfId="0" applyNumberFormat="1" applyFont="1" applyFill="1" applyBorder="1" applyAlignment="1">
      <alignment/>
    </xf>
    <xf numFmtId="0" fontId="67" fillId="35" borderId="42" xfId="0" applyFont="1" applyFill="1" applyBorder="1" applyAlignment="1">
      <alignment horizontal="center"/>
    </xf>
    <xf numFmtId="1" fontId="1" fillId="35" borderId="14" xfId="0" applyNumberFormat="1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3" xfId="0" applyFont="1" applyFill="1" applyBorder="1" applyAlignment="1">
      <alignment wrapText="1"/>
    </xf>
    <xf numFmtId="0" fontId="1" fillId="35" borderId="13" xfId="0" applyFont="1" applyFill="1" applyBorder="1" applyAlignment="1">
      <alignment horizontal="center"/>
    </xf>
    <xf numFmtId="0" fontId="62" fillId="35" borderId="13" xfId="0" applyFont="1" applyFill="1" applyBorder="1" applyAlignment="1">
      <alignment horizontal="center"/>
    </xf>
    <xf numFmtId="0" fontId="62" fillId="35" borderId="37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/>
    </xf>
    <xf numFmtId="186" fontId="0" fillId="35" borderId="47" xfId="0" applyNumberFormat="1" applyFill="1" applyBorder="1" applyAlignment="1">
      <alignment horizontal="center" vertical="center"/>
    </xf>
    <xf numFmtId="186" fontId="0" fillId="35" borderId="47" xfId="0" applyNumberFormat="1" applyFill="1" applyBorder="1" applyAlignment="1">
      <alignment/>
    </xf>
    <xf numFmtId="0" fontId="0" fillId="35" borderId="44" xfId="0" applyFill="1" applyBorder="1" applyAlignment="1">
      <alignment horizontal="center" vertical="center"/>
    </xf>
    <xf numFmtId="186" fontId="0" fillId="35" borderId="44" xfId="0" applyNumberFormat="1" applyFill="1" applyBorder="1" applyAlignment="1">
      <alignment horizontal="center" vertical="center"/>
    </xf>
    <xf numFmtId="186" fontId="0" fillId="35" borderId="44" xfId="0" applyNumberFormat="1" applyFill="1" applyBorder="1" applyAlignment="1">
      <alignment/>
    </xf>
    <xf numFmtId="0" fontId="0" fillId="35" borderId="45" xfId="0" applyFill="1" applyBorder="1" applyAlignment="1">
      <alignment horizontal="center" vertical="center"/>
    </xf>
    <xf numFmtId="0" fontId="0" fillId="35" borderId="45" xfId="0" applyFill="1" applyBorder="1" applyAlignment="1">
      <alignment/>
    </xf>
    <xf numFmtId="186" fontId="0" fillId="35" borderId="45" xfId="0" applyNumberFormat="1" applyFill="1" applyBorder="1" applyAlignment="1">
      <alignment horizontal="center" vertical="center"/>
    </xf>
    <xf numFmtId="186" fontId="0" fillId="35" borderId="45" xfId="0" applyNumberFormat="1" applyFill="1" applyBorder="1" applyAlignment="1">
      <alignment/>
    </xf>
    <xf numFmtId="0" fontId="0" fillId="35" borderId="44" xfId="0" applyFill="1" applyBorder="1" applyAlignment="1">
      <alignment/>
    </xf>
    <xf numFmtId="0" fontId="19" fillId="36" borderId="28" xfId="0" applyFont="1" applyFill="1" applyBorder="1" applyAlignment="1">
      <alignment horizontal="center" vertical="center"/>
    </xf>
    <xf numFmtId="0" fontId="19" fillId="36" borderId="28" xfId="0" applyFont="1" applyFill="1" applyBorder="1" applyAlignment="1">
      <alignment vertical="center"/>
    </xf>
    <xf numFmtId="0" fontId="19" fillId="36" borderId="28" xfId="0" applyFont="1" applyFill="1" applyBorder="1" applyAlignment="1">
      <alignment horizontal="center" vertical="center" wrapText="1"/>
    </xf>
    <xf numFmtId="0" fontId="19" fillId="36" borderId="28" xfId="0" applyFont="1" applyFill="1" applyBorder="1" applyAlignment="1">
      <alignment/>
    </xf>
    <xf numFmtId="0" fontId="0" fillId="36" borderId="27" xfId="0" applyFill="1" applyBorder="1" applyAlignment="1">
      <alignment/>
    </xf>
    <xf numFmtId="0" fontId="19" fillId="36" borderId="15" xfId="0" applyFont="1" applyFill="1" applyBorder="1" applyAlignment="1">
      <alignment horizontal="center" vertical="center"/>
    </xf>
    <xf numFmtId="186" fontId="19" fillId="36" borderId="28" xfId="0" applyNumberFormat="1" applyFont="1" applyFill="1" applyBorder="1" applyAlignment="1">
      <alignment horizontal="center" vertical="center"/>
    </xf>
    <xf numFmtId="0" fontId="19" fillId="36" borderId="27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1" fontId="20" fillId="35" borderId="12" xfId="0" applyNumberFormat="1" applyFont="1" applyFill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/>
    </xf>
    <xf numFmtId="186" fontId="0" fillId="0" borderId="0" xfId="0" applyNumberFormat="1" applyBorder="1" applyAlignment="1">
      <alignment/>
    </xf>
    <xf numFmtId="186" fontId="0" fillId="0" borderId="42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37" xfId="0" applyBorder="1" applyAlignment="1">
      <alignment/>
    </xf>
    <xf numFmtId="186" fontId="19" fillId="35" borderId="47" xfId="0" applyNumberFormat="1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17" fontId="12" fillId="0" borderId="44" xfId="0" applyNumberFormat="1" applyFont="1" applyFill="1" applyBorder="1" applyAlignment="1">
      <alignment horizontal="center" vertical="center"/>
    </xf>
    <xf numFmtId="17" fontId="12" fillId="0" borderId="45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2" fontId="12" fillId="0" borderId="44" xfId="0" applyNumberFormat="1" applyFont="1" applyFill="1" applyBorder="1" applyAlignment="1">
      <alignment horizontal="center" vertical="center" wrapText="1"/>
    </xf>
    <xf numFmtId="2" fontId="12" fillId="0" borderId="45" xfId="0" applyNumberFormat="1" applyFont="1" applyFill="1" applyBorder="1" applyAlignment="1">
      <alignment horizontal="center" vertical="center" wrapText="1"/>
    </xf>
    <xf numFmtId="2" fontId="12" fillId="0" borderId="50" xfId="0" applyNumberFormat="1" applyFont="1" applyFill="1" applyBorder="1" applyAlignment="1">
      <alignment horizontal="center" vertical="center" wrapText="1"/>
    </xf>
    <xf numFmtId="2" fontId="12" fillId="0" borderId="51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9" fillId="36" borderId="27" xfId="0" applyFont="1" applyFill="1" applyBorder="1" applyAlignment="1">
      <alignment horizontal="center"/>
    </xf>
    <xf numFmtId="0" fontId="19" fillId="36" borderId="15" xfId="0" applyFont="1" applyFill="1" applyBorder="1" applyAlignment="1">
      <alignment horizontal="center"/>
    </xf>
    <xf numFmtId="0" fontId="19" fillId="36" borderId="3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view="pageBreakPreview" zoomScale="115" zoomScaleNormal="75" zoomScaleSheetLayoutView="115" zoomScalePageLayoutView="0" workbookViewId="0" topLeftCell="A1">
      <selection activeCell="B77" sqref="B77"/>
    </sheetView>
  </sheetViews>
  <sheetFormatPr defaultColWidth="9.140625" defaultRowHeight="12.75"/>
  <cols>
    <col min="1" max="1" width="7.7109375" style="8" customWidth="1"/>
    <col min="2" max="2" width="11.8515625" style="2" customWidth="1"/>
    <col min="3" max="3" width="46.8515625" style="10" customWidth="1"/>
    <col min="4" max="4" width="12.140625" style="2" customWidth="1"/>
    <col min="5" max="5" width="12.8515625" style="21" customWidth="1"/>
    <col min="6" max="6" width="12.8515625" style="79" customWidth="1"/>
    <col min="7" max="7" width="17.57421875" style="79" customWidth="1"/>
    <col min="8" max="8" width="12.421875" style="69" hidden="1" customWidth="1"/>
    <col min="9" max="9" width="17.421875" style="1" customWidth="1"/>
    <col min="10" max="10" width="20.00390625" style="17" bestFit="1" customWidth="1"/>
    <col min="11" max="11" width="12.7109375" style="2" customWidth="1"/>
    <col min="12" max="16384" width="9.140625" style="2" customWidth="1"/>
  </cols>
  <sheetData>
    <row r="1" spans="1:9" ht="12.75">
      <c r="A1" s="104"/>
      <c r="B1" s="105"/>
      <c r="C1" s="106"/>
      <c r="D1" s="107"/>
      <c r="E1" s="108"/>
      <c r="F1" s="109"/>
      <c r="G1" s="109"/>
      <c r="H1" s="110"/>
      <c r="I1" s="191"/>
    </row>
    <row r="2" spans="1:9" ht="27" customHeight="1">
      <c r="A2" s="111"/>
      <c r="B2" s="58"/>
      <c r="C2" s="112" t="s">
        <v>69</v>
      </c>
      <c r="D2" s="58"/>
      <c r="E2" s="113"/>
      <c r="F2" s="114"/>
      <c r="G2" s="114"/>
      <c r="H2" s="115"/>
      <c r="I2" s="192"/>
    </row>
    <row r="3" spans="1:9" ht="27.75">
      <c r="A3" s="116"/>
      <c r="B3" s="59"/>
      <c r="C3" s="117" t="s">
        <v>70</v>
      </c>
      <c r="D3" s="59"/>
      <c r="E3" s="118"/>
      <c r="F3" s="119"/>
      <c r="G3" s="119"/>
      <c r="H3" s="120"/>
      <c r="I3" s="193"/>
    </row>
    <row r="4" spans="1:9" ht="22.5">
      <c r="A4" s="121" t="s">
        <v>46</v>
      </c>
      <c r="B4" s="122"/>
      <c r="C4" s="123" t="s">
        <v>45</v>
      </c>
      <c r="D4" s="1"/>
      <c r="E4" s="124"/>
      <c r="F4" s="125"/>
      <c r="G4" s="125"/>
      <c r="H4" s="126"/>
      <c r="I4" s="194"/>
    </row>
    <row r="5" spans="1:9" ht="21.75" customHeight="1" thickBot="1">
      <c r="A5" s="138"/>
      <c r="B5" s="195"/>
      <c r="C5" s="196"/>
      <c r="D5" s="195"/>
      <c r="E5" s="197"/>
      <c r="F5" s="142"/>
      <c r="G5" s="142"/>
      <c r="H5" s="198"/>
      <c r="I5" s="199"/>
    </row>
    <row r="6" spans="1:10" ht="33.75" customHeight="1">
      <c r="A6" s="9" t="s">
        <v>45</v>
      </c>
      <c r="B6" s="7"/>
      <c r="C6" s="210" t="s">
        <v>47</v>
      </c>
      <c r="D6" s="6"/>
      <c r="E6" s="22"/>
      <c r="F6" s="80"/>
      <c r="G6" s="80"/>
      <c r="H6" s="70"/>
      <c r="I6" s="200"/>
      <c r="J6" s="18"/>
    </row>
    <row r="7" spans="1:11" ht="14.25">
      <c r="A7" s="11"/>
      <c r="B7" s="12"/>
      <c r="C7" s="12"/>
      <c r="D7" s="12"/>
      <c r="E7" s="23"/>
      <c r="F7" s="81"/>
      <c r="G7" s="81"/>
      <c r="H7" s="71"/>
      <c r="I7" s="201"/>
      <c r="J7" s="18"/>
      <c r="K7" s="1"/>
    </row>
    <row r="8" spans="1:11" ht="22.5" customHeight="1">
      <c r="A8" s="15" t="s">
        <v>89</v>
      </c>
      <c r="B8" s="13"/>
      <c r="C8" s="13"/>
      <c r="D8" s="13"/>
      <c r="E8" s="24"/>
      <c r="F8" s="82"/>
      <c r="G8" s="82"/>
      <c r="H8" s="72"/>
      <c r="I8" s="202"/>
      <c r="J8" s="18"/>
      <c r="K8" s="1"/>
    </row>
    <row r="9" spans="1:11" ht="17.25" customHeight="1" thickBot="1">
      <c r="A9" s="16" t="s">
        <v>45</v>
      </c>
      <c r="B9" s="14"/>
      <c r="C9" s="14"/>
      <c r="D9" s="14"/>
      <c r="E9" s="25"/>
      <c r="F9" s="83"/>
      <c r="G9" s="83"/>
      <c r="H9" s="73"/>
      <c r="I9" s="203"/>
      <c r="J9" s="18"/>
      <c r="K9" s="1"/>
    </row>
    <row r="10" spans="1:10" ht="24.75" customHeight="1" thickBot="1">
      <c r="A10" s="15" t="s">
        <v>90</v>
      </c>
      <c r="B10" s="60"/>
      <c r="C10" s="129"/>
      <c r="D10" s="60"/>
      <c r="E10" s="130"/>
      <c r="F10" s="125"/>
      <c r="G10" s="125"/>
      <c r="H10" s="131"/>
      <c r="I10" s="208"/>
      <c r="J10" s="18"/>
    </row>
    <row r="11" spans="1:10" s="3" customFormat="1" ht="24.75" customHeight="1" thickBot="1">
      <c r="A11" s="132"/>
      <c r="B11" s="133"/>
      <c r="C11" s="134"/>
      <c r="D11" s="135"/>
      <c r="E11" s="133"/>
      <c r="F11" s="277" t="s">
        <v>171</v>
      </c>
      <c r="G11" s="278"/>
      <c r="H11" s="145" t="s">
        <v>43</v>
      </c>
      <c r="I11" s="207"/>
      <c r="J11" s="19"/>
    </row>
    <row r="12" spans="1:11" s="3" customFormat="1" ht="15.75" customHeight="1">
      <c r="A12" s="205" t="s">
        <v>42</v>
      </c>
      <c r="B12" s="279" t="s">
        <v>88</v>
      </c>
      <c r="C12" s="291" t="s">
        <v>48</v>
      </c>
      <c r="D12" s="281" t="s">
        <v>39</v>
      </c>
      <c r="E12" s="283" t="s">
        <v>44</v>
      </c>
      <c r="F12" s="285" t="s">
        <v>40</v>
      </c>
      <c r="G12" s="289" t="s">
        <v>41</v>
      </c>
      <c r="H12" s="287" t="s">
        <v>40</v>
      </c>
      <c r="I12" s="275" t="s">
        <v>170</v>
      </c>
      <c r="J12" s="20"/>
      <c r="K12" s="4"/>
    </row>
    <row r="13" spans="1:11" s="3" customFormat="1" ht="27.75" customHeight="1" thickBot="1">
      <c r="A13" s="206"/>
      <c r="B13" s="280"/>
      <c r="C13" s="292"/>
      <c r="D13" s="282"/>
      <c r="E13" s="284"/>
      <c r="F13" s="286"/>
      <c r="G13" s="290"/>
      <c r="H13" s="288"/>
      <c r="I13" s="276"/>
      <c r="J13" s="20"/>
      <c r="K13" s="5"/>
    </row>
    <row r="14" spans="1:11" s="3" customFormat="1" ht="15.75" customHeight="1" thickBot="1">
      <c r="A14" s="204"/>
      <c r="B14" s="26"/>
      <c r="C14" s="27" t="s">
        <v>58</v>
      </c>
      <c r="D14" s="28"/>
      <c r="E14" s="29"/>
      <c r="F14" s="29"/>
      <c r="G14" s="147"/>
      <c r="H14" s="74"/>
      <c r="I14" s="180"/>
      <c r="J14" s="20"/>
      <c r="K14" s="5"/>
    </row>
    <row r="15" spans="1:9" ht="13.5" thickBot="1">
      <c r="A15" s="61">
        <v>1</v>
      </c>
      <c r="B15" s="62"/>
      <c r="C15" s="63" t="s">
        <v>72</v>
      </c>
      <c r="D15" s="63"/>
      <c r="E15" s="64"/>
      <c r="F15" s="62"/>
      <c r="G15" s="148"/>
      <c r="H15" s="75"/>
      <c r="I15" s="190"/>
    </row>
    <row r="16" spans="1:9" ht="25.5">
      <c r="A16" s="31" t="s">
        <v>8</v>
      </c>
      <c r="B16" s="33" t="s">
        <v>91</v>
      </c>
      <c r="C16" s="32" t="s">
        <v>33</v>
      </c>
      <c r="D16" s="33" t="s">
        <v>49</v>
      </c>
      <c r="E16" s="34">
        <v>3</v>
      </c>
      <c r="F16" s="151">
        <v>256.52</v>
      </c>
      <c r="G16" s="149">
        <f>E16*F16</f>
        <v>769.56</v>
      </c>
      <c r="H16" s="146">
        <f>F16*1.2</f>
        <v>307.82399999999996</v>
      </c>
      <c r="I16" s="189">
        <f>G16*1.15</f>
        <v>884.9939999999999</v>
      </c>
    </row>
    <row r="17" spans="1:9" ht="18" customHeight="1">
      <c r="A17" s="35" t="s">
        <v>9</v>
      </c>
      <c r="B17" s="37" t="s">
        <v>92</v>
      </c>
      <c r="C17" s="36" t="s">
        <v>50</v>
      </c>
      <c r="D17" s="37" t="s">
        <v>49</v>
      </c>
      <c r="E17" s="38">
        <f>1.5*3</f>
        <v>4.5</v>
      </c>
      <c r="F17" s="153">
        <v>321.6</v>
      </c>
      <c r="G17" s="149">
        <f>E17*F17</f>
        <v>1447.2</v>
      </c>
      <c r="H17" s="146">
        <f>F17*1.2</f>
        <v>385.92</v>
      </c>
      <c r="I17" s="189">
        <f>G17*1.15</f>
        <v>1664.28</v>
      </c>
    </row>
    <row r="18" spans="1:9" ht="19.5" customHeight="1" thickBot="1">
      <c r="A18" s="86" t="s">
        <v>84</v>
      </c>
      <c r="B18" s="87"/>
      <c r="C18" s="87"/>
      <c r="D18" s="87"/>
      <c r="E18" s="87"/>
      <c r="F18" s="87"/>
      <c r="G18" s="156">
        <f>SUM(G16:G17)</f>
        <v>2216.76</v>
      </c>
      <c r="H18" s="88"/>
      <c r="I18" s="182">
        <f>SUM(I16:I17)</f>
        <v>2549.274</v>
      </c>
    </row>
    <row r="19" spans="1:9" ht="13.5" thickBot="1">
      <c r="A19" s="65">
        <v>2</v>
      </c>
      <c r="B19" s="66"/>
      <c r="C19" s="67" t="s">
        <v>68</v>
      </c>
      <c r="D19" s="67"/>
      <c r="E19" s="68"/>
      <c r="F19" s="66"/>
      <c r="G19" s="150"/>
      <c r="H19" s="76"/>
      <c r="I19" s="183"/>
    </row>
    <row r="20" spans="1:9" ht="16.5" customHeight="1">
      <c r="A20" s="35" t="s">
        <v>10</v>
      </c>
      <c r="B20" s="168" t="s">
        <v>93</v>
      </c>
      <c r="C20" s="154" t="s">
        <v>53</v>
      </c>
      <c r="D20" s="33" t="s">
        <v>49</v>
      </c>
      <c r="E20" s="34">
        <f>((8*6)*2)+(2*8)</f>
        <v>112</v>
      </c>
      <c r="F20" s="89">
        <v>7.91</v>
      </c>
      <c r="G20" s="149">
        <f>E20*F20</f>
        <v>885.9200000000001</v>
      </c>
      <c r="H20" s="146">
        <f>F20*1.2</f>
        <v>9.491999999999999</v>
      </c>
      <c r="I20" s="181">
        <f>G20*1.15</f>
        <v>1018.808</v>
      </c>
    </row>
    <row r="21" spans="1:9" ht="18.75" customHeight="1" thickBot="1">
      <c r="A21" s="86" t="s">
        <v>85</v>
      </c>
      <c r="B21" s="87"/>
      <c r="C21" s="87"/>
      <c r="D21" s="87"/>
      <c r="E21" s="87"/>
      <c r="F21" s="87"/>
      <c r="G21" s="157">
        <f>SUM(G20:G20)</f>
        <v>885.9200000000001</v>
      </c>
      <c r="H21" s="88"/>
      <c r="I21" s="184">
        <f>SUM(I20:I20)</f>
        <v>1018.808</v>
      </c>
    </row>
    <row r="22" spans="1:9" ht="13.5" thickBot="1">
      <c r="A22" s="65">
        <v>3</v>
      </c>
      <c r="B22" s="66"/>
      <c r="C22" s="67" t="s">
        <v>56</v>
      </c>
      <c r="D22" s="67"/>
      <c r="E22" s="68"/>
      <c r="F22" s="66"/>
      <c r="G22" s="150"/>
      <c r="H22" s="76"/>
      <c r="I22" s="183"/>
    </row>
    <row r="23" spans="1:9" ht="25.5">
      <c r="A23" s="31" t="s">
        <v>59</v>
      </c>
      <c r="B23" s="158" t="s">
        <v>94</v>
      </c>
      <c r="C23" s="155" t="s">
        <v>95</v>
      </c>
      <c r="D23" s="39" t="s">
        <v>51</v>
      </c>
      <c r="E23" s="40">
        <f>18*6</f>
        <v>108</v>
      </c>
      <c r="F23" s="49">
        <v>46.52</v>
      </c>
      <c r="G23" s="149">
        <f aca="true" t="shared" si="0" ref="G23:G33">E23*F23</f>
        <v>5024.160000000001</v>
      </c>
      <c r="H23" s="146">
        <f>F23*1.2</f>
        <v>55.824000000000005</v>
      </c>
      <c r="I23" s="181">
        <f>G23*1.15</f>
        <v>5777.784000000001</v>
      </c>
    </row>
    <row r="24" spans="1:9" ht="25.5">
      <c r="A24" s="31" t="s">
        <v>26</v>
      </c>
      <c r="B24" s="158" t="s">
        <v>96</v>
      </c>
      <c r="C24" s="154" t="s">
        <v>97</v>
      </c>
      <c r="D24" s="33" t="s">
        <v>52</v>
      </c>
      <c r="E24" s="43">
        <f>((8+8+8+8+6+6+6+6+2)*0.2*0.3)+0.52</f>
        <v>4</v>
      </c>
      <c r="F24" s="49">
        <v>30.48</v>
      </c>
      <c r="G24" s="149">
        <f t="shared" si="0"/>
        <v>121.92</v>
      </c>
      <c r="H24" s="146">
        <f aca="true" t="shared" si="1" ref="H24:H33">F24*1.2</f>
        <v>36.576</v>
      </c>
      <c r="I24" s="181">
        <f aca="true" t="shared" si="2" ref="I24:I33">G24*1.15</f>
        <v>140.208</v>
      </c>
    </row>
    <row r="25" spans="1:9" ht="25.5">
      <c r="A25" s="31" t="s">
        <v>27</v>
      </c>
      <c r="B25" s="158" t="s">
        <v>98</v>
      </c>
      <c r="C25" s="92" t="s">
        <v>2</v>
      </c>
      <c r="D25" s="37" t="s">
        <v>52</v>
      </c>
      <c r="E25" s="41">
        <f>E24</f>
        <v>4</v>
      </c>
      <c r="F25" s="49">
        <v>11.36</v>
      </c>
      <c r="G25" s="149">
        <f t="shared" si="0"/>
        <v>45.44</v>
      </c>
      <c r="H25" s="146">
        <f t="shared" si="1"/>
        <v>13.632</v>
      </c>
      <c r="I25" s="181">
        <f t="shared" si="2"/>
        <v>52.25599999999999</v>
      </c>
    </row>
    <row r="26" spans="1:9" ht="22.5" customHeight="1">
      <c r="A26" s="31" t="s">
        <v>28</v>
      </c>
      <c r="B26" s="158" t="s">
        <v>108</v>
      </c>
      <c r="C26" s="162" t="s">
        <v>109</v>
      </c>
      <c r="D26" s="158" t="s">
        <v>49</v>
      </c>
      <c r="E26" s="163">
        <f>58*2*0.3</f>
        <v>34.8</v>
      </c>
      <c r="F26" s="163">
        <v>34.05</v>
      </c>
      <c r="G26" s="149">
        <f t="shared" si="0"/>
        <v>1184.9399999999998</v>
      </c>
      <c r="H26" s="161">
        <v>53.21</v>
      </c>
      <c r="I26" s="181">
        <f t="shared" si="2"/>
        <v>1362.6809999999996</v>
      </c>
    </row>
    <row r="27" spans="1:9" ht="25.5">
      <c r="A27" s="31" t="s">
        <v>29</v>
      </c>
      <c r="B27" s="158" t="s">
        <v>99</v>
      </c>
      <c r="C27" s="154" t="s">
        <v>100</v>
      </c>
      <c r="D27" s="33" t="s">
        <v>37</v>
      </c>
      <c r="E27" s="91">
        <f>((60*5)+(18*4*4))*0.617</f>
        <v>362.796</v>
      </c>
      <c r="F27" s="49">
        <v>4.99</v>
      </c>
      <c r="G27" s="149">
        <f t="shared" si="0"/>
        <v>1810.35204</v>
      </c>
      <c r="H27" s="146">
        <f t="shared" si="1"/>
        <v>5.988</v>
      </c>
      <c r="I27" s="181">
        <f t="shared" si="2"/>
        <v>2081.904846</v>
      </c>
    </row>
    <row r="28" spans="1:9" ht="25.5">
      <c r="A28" s="31" t="s">
        <v>30</v>
      </c>
      <c r="B28" s="158" t="s">
        <v>101</v>
      </c>
      <c r="C28" s="92" t="s">
        <v>102</v>
      </c>
      <c r="D28" s="37" t="s">
        <v>37</v>
      </c>
      <c r="E28" s="93">
        <f>((((60/0.2)*1.06)+(4/0.2)*18*0.76))*0.154</f>
        <v>91.10640000000001</v>
      </c>
      <c r="F28" s="49">
        <v>5.21</v>
      </c>
      <c r="G28" s="149">
        <f t="shared" si="0"/>
        <v>474.664344</v>
      </c>
      <c r="H28" s="146">
        <f t="shared" si="1"/>
        <v>6.252</v>
      </c>
      <c r="I28" s="181">
        <f t="shared" si="2"/>
        <v>545.8639956</v>
      </c>
    </row>
    <row r="29" spans="1:9" ht="21" customHeight="1">
      <c r="A29" s="31" t="s">
        <v>31</v>
      </c>
      <c r="B29" s="37" t="s">
        <v>103</v>
      </c>
      <c r="C29" s="92" t="s">
        <v>112</v>
      </c>
      <c r="D29" s="37" t="s">
        <v>52</v>
      </c>
      <c r="E29" s="91">
        <f>((8+8+8+8+6+6+6+6+2)*0.2*0.3)+(0.3*18)+1.12</f>
        <v>10</v>
      </c>
      <c r="F29" s="49">
        <v>274.35</v>
      </c>
      <c r="G29" s="149">
        <f t="shared" si="0"/>
        <v>2743.5</v>
      </c>
      <c r="H29" s="146">
        <f t="shared" si="1"/>
        <v>329.22</v>
      </c>
      <c r="I29" s="181">
        <f t="shared" si="2"/>
        <v>3155.0249999999996</v>
      </c>
    </row>
    <row r="30" spans="1:9" ht="25.5">
      <c r="A30" s="31" t="s">
        <v>32</v>
      </c>
      <c r="B30" s="37" t="s">
        <v>104</v>
      </c>
      <c r="C30" s="36" t="s">
        <v>34</v>
      </c>
      <c r="D30" s="37" t="s">
        <v>52</v>
      </c>
      <c r="E30" s="91">
        <f>E29</f>
        <v>10</v>
      </c>
      <c r="F30" s="49">
        <v>102.68</v>
      </c>
      <c r="G30" s="149">
        <f t="shared" si="0"/>
        <v>1026.8000000000002</v>
      </c>
      <c r="H30" s="146">
        <f t="shared" si="1"/>
        <v>123.21600000000001</v>
      </c>
      <c r="I30" s="181">
        <f t="shared" si="2"/>
        <v>1180.8200000000002</v>
      </c>
    </row>
    <row r="31" spans="1:9" ht="17.25" customHeight="1">
      <c r="A31" s="31" t="s">
        <v>60</v>
      </c>
      <c r="B31" s="37" t="s">
        <v>105</v>
      </c>
      <c r="C31" s="36" t="s">
        <v>3</v>
      </c>
      <c r="D31" s="37" t="s">
        <v>52</v>
      </c>
      <c r="E31" s="90">
        <f>58*0.05</f>
        <v>2.9000000000000004</v>
      </c>
      <c r="F31" s="49">
        <v>101.93</v>
      </c>
      <c r="G31" s="149">
        <f t="shared" si="0"/>
        <v>295.59700000000004</v>
      </c>
      <c r="H31" s="146">
        <f t="shared" si="1"/>
        <v>122.316</v>
      </c>
      <c r="I31" s="181">
        <f t="shared" si="2"/>
        <v>339.93655</v>
      </c>
    </row>
    <row r="32" spans="1:9" ht="25.5">
      <c r="A32" s="31" t="s">
        <v>86</v>
      </c>
      <c r="B32" s="159" t="s">
        <v>106</v>
      </c>
      <c r="C32" s="44" t="s">
        <v>35</v>
      </c>
      <c r="D32" s="45" t="s">
        <v>49</v>
      </c>
      <c r="E32" s="43">
        <f>(0.3+0.3+0.2)*58</f>
        <v>46.400000000000006</v>
      </c>
      <c r="F32" s="49">
        <v>9.58</v>
      </c>
      <c r="G32" s="149">
        <f t="shared" si="0"/>
        <v>444.51200000000006</v>
      </c>
      <c r="H32" s="146">
        <f t="shared" si="1"/>
        <v>11.496</v>
      </c>
      <c r="I32" s="181">
        <f t="shared" si="2"/>
        <v>511.1888</v>
      </c>
    </row>
    <row r="33" spans="1:9" ht="25.5">
      <c r="A33" s="31" t="s">
        <v>110</v>
      </c>
      <c r="B33" s="160" t="s">
        <v>107</v>
      </c>
      <c r="C33" s="46" t="s">
        <v>36</v>
      </c>
      <c r="D33" s="47" t="s">
        <v>52</v>
      </c>
      <c r="E33" s="41">
        <f>E32*0.02</f>
        <v>0.9280000000000002</v>
      </c>
      <c r="F33" s="152">
        <v>491.99</v>
      </c>
      <c r="G33" s="149">
        <f t="shared" si="0"/>
        <v>456.5667200000001</v>
      </c>
      <c r="H33" s="146">
        <f t="shared" si="1"/>
        <v>590.388</v>
      </c>
      <c r="I33" s="181">
        <f t="shared" si="2"/>
        <v>525.051728</v>
      </c>
    </row>
    <row r="34" spans="1:9" ht="18.75" customHeight="1" thickBot="1">
      <c r="A34" s="31"/>
      <c r="B34" s="87" t="s">
        <v>38</v>
      </c>
      <c r="C34" s="87"/>
      <c r="D34" s="87"/>
      <c r="E34" s="87"/>
      <c r="F34" s="87"/>
      <c r="G34" s="42">
        <f>SUM(G23:G33)</f>
        <v>13628.452104000002</v>
      </c>
      <c r="H34" s="88"/>
      <c r="I34" s="185">
        <f>SUM(I23:I33)</f>
        <v>15672.7199196</v>
      </c>
    </row>
    <row r="35" spans="1:9" ht="12.75" customHeight="1" thickBot="1">
      <c r="A35" s="65">
        <v>4</v>
      </c>
      <c r="B35" s="66"/>
      <c r="C35" s="67" t="s">
        <v>57</v>
      </c>
      <c r="D35" s="67"/>
      <c r="E35" s="68"/>
      <c r="F35" s="66"/>
      <c r="G35" s="150"/>
      <c r="H35" s="76"/>
      <c r="I35" s="183"/>
    </row>
    <row r="36" spans="1:9" ht="23.25" customHeight="1">
      <c r="A36" s="31" t="s">
        <v>11</v>
      </c>
      <c r="B36" s="164" t="s">
        <v>111</v>
      </c>
      <c r="C36" s="49" t="s">
        <v>73</v>
      </c>
      <c r="D36" s="37" t="s">
        <v>49</v>
      </c>
      <c r="E36" s="90">
        <f>E26</f>
        <v>34.8</v>
      </c>
      <c r="F36" s="49">
        <v>112.76</v>
      </c>
      <c r="G36" s="149">
        <f>E36*F36</f>
        <v>3924.048</v>
      </c>
      <c r="H36" s="146">
        <f>F36*1.2</f>
        <v>135.312</v>
      </c>
      <c r="I36" s="181">
        <f>G36*1.15</f>
        <v>4512.655199999999</v>
      </c>
    </row>
    <row r="37" spans="1:9" ht="25.5">
      <c r="A37" s="31" t="s">
        <v>12</v>
      </c>
      <c r="B37" s="158" t="s">
        <v>99</v>
      </c>
      <c r="C37" s="154" t="s">
        <v>100</v>
      </c>
      <c r="D37" s="33" t="s">
        <v>37</v>
      </c>
      <c r="E37" s="91">
        <f>((60*5)+(18*4*3))*0.617</f>
        <v>318.372</v>
      </c>
      <c r="F37" s="49">
        <v>4.99</v>
      </c>
      <c r="G37" s="149">
        <f>E37*F37</f>
        <v>1588.6762800000001</v>
      </c>
      <c r="H37" s="146">
        <f>F37*1.2</f>
        <v>5.988</v>
      </c>
      <c r="I37" s="181">
        <f>G37*1.15</f>
        <v>1826.977722</v>
      </c>
    </row>
    <row r="38" spans="1:9" ht="25.5">
      <c r="A38" s="31" t="s">
        <v>13</v>
      </c>
      <c r="B38" s="158" t="s">
        <v>101</v>
      </c>
      <c r="C38" s="92" t="s">
        <v>102</v>
      </c>
      <c r="D38" s="37" t="s">
        <v>37</v>
      </c>
      <c r="E38" s="93">
        <f>((((60/0.2)*1.06)+(4/0.2)*18*0.76))*0.154</f>
        <v>91.10640000000001</v>
      </c>
      <c r="F38" s="49">
        <v>5.21</v>
      </c>
      <c r="G38" s="149">
        <f>E38*F38</f>
        <v>474.664344</v>
      </c>
      <c r="H38" s="146">
        <f>F38*1.2</f>
        <v>6.252</v>
      </c>
      <c r="I38" s="181">
        <f>G38*1.15</f>
        <v>545.8639956</v>
      </c>
    </row>
    <row r="39" spans="1:9" ht="21.75" customHeight="1">
      <c r="A39" s="31" t="s">
        <v>61</v>
      </c>
      <c r="B39" s="165" t="s">
        <v>103</v>
      </c>
      <c r="C39" s="92" t="s">
        <v>112</v>
      </c>
      <c r="D39" s="37" t="s">
        <v>52</v>
      </c>
      <c r="E39" s="91">
        <f>(58*0.15*0.3)+(0.15*0.2*3*18)+0.77</f>
        <v>5</v>
      </c>
      <c r="F39" s="49">
        <v>274.35</v>
      </c>
      <c r="G39" s="149">
        <f>E39*F39</f>
        <v>1371.75</v>
      </c>
      <c r="H39" s="146">
        <f>F39*1.2</f>
        <v>329.22</v>
      </c>
      <c r="I39" s="181">
        <f>G39*1.15</f>
        <v>1577.5124999999998</v>
      </c>
    </row>
    <row r="40" spans="1:9" ht="25.5">
      <c r="A40" s="31" t="s">
        <v>76</v>
      </c>
      <c r="B40" s="165" t="s">
        <v>113</v>
      </c>
      <c r="C40" s="92" t="s">
        <v>114</v>
      </c>
      <c r="D40" s="37" t="s">
        <v>52</v>
      </c>
      <c r="E40" s="91">
        <f>E39</f>
        <v>5</v>
      </c>
      <c r="F40" s="49">
        <v>70.92</v>
      </c>
      <c r="G40" s="149">
        <f>E40*F40</f>
        <v>354.6</v>
      </c>
      <c r="H40" s="146">
        <f>F40*1.2</f>
        <v>85.104</v>
      </c>
      <c r="I40" s="181">
        <f>G40*1.15</f>
        <v>407.79</v>
      </c>
    </row>
    <row r="41" spans="1:9" ht="17.25" customHeight="1" thickBot="1">
      <c r="A41" s="31"/>
      <c r="B41" s="87" t="s">
        <v>38</v>
      </c>
      <c r="C41" s="87"/>
      <c r="D41" s="87"/>
      <c r="E41" s="87"/>
      <c r="F41" s="87"/>
      <c r="G41" s="42">
        <f>SUM(G36:G40)</f>
        <v>7713.7386240000005</v>
      </c>
      <c r="H41" s="88"/>
      <c r="I41" s="185">
        <f>SUM(I36:I40)</f>
        <v>8870.7994176</v>
      </c>
    </row>
    <row r="42" spans="1:9" ht="13.5" thickBot="1">
      <c r="A42" s="65">
        <v>5</v>
      </c>
      <c r="B42" s="66"/>
      <c r="C42" s="67" t="s">
        <v>22</v>
      </c>
      <c r="D42" s="67"/>
      <c r="E42" s="68"/>
      <c r="F42" s="66"/>
      <c r="G42" s="150"/>
      <c r="H42" s="76"/>
      <c r="I42" s="183"/>
    </row>
    <row r="43" spans="1:9" ht="16.5" customHeight="1">
      <c r="A43" s="31" t="s">
        <v>14</v>
      </c>
      <c r="B43" s="164" t="s">
        <v>117</v>
      </c>
      <c r="C43" s="154" t="s">
        <v>0</v>
      </c>
      <c r="D43" s="33" t="s">
        <v>52</v>
      </c>
      <c r="E43" s="43">
        <f>58*0.3*0.2</f>
        <v>3.48</v>
      </c>
      <c r="F43" s="49">
        <v>532.47</v>
      </c>
      <c r="G43" s="149">
        <f>F43*E43</f>
        <v>1852.9956000000002</v>
      </c>
      <c r="H43" s="146">
        <f>F43*1.2</f>
        <v>638.964</v>
      </c>
      <c r="I43" s="181">
        <f>G43*1.15</f>
        <v>2130.94494</v>
      </c>
    </row>
    <row r="44" spans="1:9" ht="25.5">
      <c r="A44" s="31" t="s">
        <v>15</v>
      </c>
      <c r="B44" s="165" t="s">
        <v>115</v>
      </c>
      <c r="C44" s="92" t="s">
        <v>116</v>
      </c>
      <c r="D44" s="37" t="s">
        <v>49</v>
      </c>
      <c r="E44" s="41">
        <f>((8+8+8+8+6+6+6+6+2)*3)</f>
        <v>174</v>
      </c>
      <c r="F44" s="49">
        <v>46.69</v>
      </c>
      <c r="G44" s="149">
        <f>F44*E44</f>
        <v>8124.0599999999995</v>
      </c>
      <c r="H44" s="146">
        <f>F44*1.2</f>
        <v>56.028</v>
      </c>
      <c r="I44" s="181">
        <f>G44*1.15</f>
        <v>9342.668999999998</v>
      </c>
    </row>
    <row r="45" spans="1:9" ht="18" customHeight="1" thickBot="1">
      <c r="A45" s="31"/>
      <c r="B45" s="87" t="s">
        <v>38</v>
      </c>
      <c r="C45" s="128"/>
      <c r="D45" s="87"/>
      <c r="E45" s="87"/>
      <c r="F45" s="87"/>
      <c r="G45" s="42">
        <f>SUM(G43:G44)</f>
        <v>9977.0556</v>
      </c>
      <c r="H45" s="88"/>
      <c r="I45" s="185">
        <f>SUM(I43:I44)</f>
        <v>11473.613939999997</v>
      </c>
    </row>
    <row r="46" spans="1:9" ht="18" customHeight="1" thickBot="1">
      <c r="A46" s="65">
        <v>6</v>
      </c>
      <c r="B46" s="66"/>
      <c r="C46" s="67" t="s">
        <v>23</v>
      </c>
      <c r="D46" s="67"/>
      <c r="E46" s="68"/>
      <c r="F46" s="66"/>
      <c r="G46" s="150"/>
      <c r="H46" s="76"/>
      <c r="I46" s="183"/>
    </row>
    <row r="47" spans="1:9" ht="38.25" customHeight="1">
      <c r="A47" s="31" t="s">
        <v>16</v>
      </c>
      <c r="B47" s="167" t="s">
        <v>118</v>
      </c>
      <c r="C47" s="166" t="s">
        <v>122</v>
      </c>
      <c r="D47" s="33" t="s">
        <v>49</v>
      </c>
      <c r="E47" s="43">
        <f>15*9</f>
        <v>135</v>
      </c>
      <c r="F47" s="144">
        <v>75.79</v>
      </c>
      <c r="G47" s="149">
        <f>E47*F47</f>
        <v>10231.650000000001</v>
      </c>
      <c r="H47" s="146">
        <f>F47*1.2</f>
        <v>90.94800000000001</v>
      </c>
      <c r="I47" s="181">
        <f>G47*1.15</f>
        <v>11766.397500000001</v>
      </c>
    </row>
    <row r="48" spans="1:9" ht="38.25" customHeight="1">
      <c r="A48" s="31" t="s">
        <v>17</v>
      </c>
      <c r="B48" s="167" t="s">
        <v>119</v>
      </c>
      <c r="C48" s="166" t="s">
        <v>121</v>
      </c>
      <c r="D48" s="33" t="s">
        <v>49</v>
      </c>
      <c r="E48" s="43">
        <f>15*9</f>
        <v>135</v>
      </c>
      <c r="F48" s="144">
        <v>33.03</v>
      </c>
      <c r="G48" s="149">
        <f>E48*F48</f>
        <v>4459.05</v>
      </c>
      <c r="H48" s="146"/>
      <c r="I48" s="181">
        <f>G48*1.15</f>
        <v>5127.9075</v>
      </c>
    </row>
    <row r="49" spans="1:9" ht="25.5">
      <c r="A49" s="31" t="s">
        <v>120</v>
      </c>
      <c r="B49" s="164" t="s">
        <v>123</v>
      </c>
      <c r="C49" s="103" t="s">
        <v>87</v>
      </c>
      <c r="D49" s="57" t="s">
        <v>51</v>
      </c>
      <c r="E49" s="41">
        <v>30</v>
      </c>
      <c r="F49" s="49">
        <v>57.27</v>
      </c>
      <c r="G49" s="149">
        <f>E49*F49</f>
        <v>1718.1000000000001</v>
      </c>
      <c r="H49" s="146">
        <f>F49*1.2</f>
        <v>68.724</v>
      </c>
      <c r="I49" s="181">
        <f>G49*1.15</f>
        <v>1975.815</v>
      </c>
    </row>
    <row r="50" spans="1:9" ht="19.5" customHeight="1" thickBot="1">
      <c r="A50" s="31"/>
      <c r="B50" s="87" t="s">
        <v>38</v>
      </c>
      <c r="C50" s="87"/>
      <c r="D50" s="87"/>
      <c r="E50" s="87"/>
      <c r="F50" s="87"/>
      <c r="G50" s="42">
        <f>SUM(G47:G49)</f>
        <v>16408.8</v>
      </c>
      <c r="H50" s="88"/>
      <c r="I50" s="185">
        <f>SUM(I47:I49)</f>
        <v>18870.12</v>
      </c>
    </row>
    <row r="51" spans="1:9" ht="13.5" thickBot="1">
      <c r="A51" s="65">
        <v>7</v>
      </c>
      <c r="B51" s="66"/>
      <c r="C51" s="67" t="s">
        <v>24</v>
      </c>
      <c r="D51" s="67"/>
      <c r="E51" s="68"/>
      <c r="F51" s="66"/>
      <c r="G51" s="150"/>
      <c r="H51" s="76"/>
      <c r="I51" s="183"/>
    </row>
    <row r="52" spans="1:9" ht="17.25" customHeight="1">
      <c r="A52" s="31" t="s">
        <v>18</v>
      </c>
      <c r="B52" s="165" t="s">
        <v>124</v>
      </c>
      <c r="C52" s="36" t="s">
        <v>4</v>
      </c>
      <c r="D52" s="37" t="s">
        <v>49</v>
      </c>
      <c r="E52" s="41">
        <f>((8+8+8+8+6+6+6+6+8+8+2)*3)+(14*0.2*3)</f>
        <v>230.4</v>
      </c>
      <c r="F52" s="49">
        <v>4.22</v>
      </c>
      <c r="G52" s="149">
        <f>E52*F52</f>
        <v>972.288</v>
      </c>
      <c r="H52" s="146">
        <f>F52*1.2</f>
        <v>5.063999999999999</v>
      </c>
      <c r="I52" s="181">
        <f>G52*1.15</f>
        <v>1118.1312</v>
      </c>
    </row>
    <row r="53" spans="1:9" ht="15" customHeight="1">
      <c r="A53" s="31" t="s">
        <v>62</v>
      </c>
      <c r="B53" s="165" t="s">
        <v>125</v>
      </c>
      <c r="C53" s="36" t="s">
        <v>81</v>
      </c>
      <c r="D53" s="37" t="s">
        <v>49</v>
      </c>
      <c r="E53" s="41">
        <f>E52</f>
        <v>230.4</v>
      </c>
      <c r="F53" s="49">
        <v>7.78</v>
      </c>
      <c r="G53" s="149">
        <f>E53*F53</f>
        <v>1792.5120000000002</v>
      </c>
      <c r="H53" s="146">
        <f>F53*1.2</f>
        <v>9.336</v>
      </c>
      <c r="I53" s="181">
        <f>G53*1.15</f>
        <v>2061.3888</v>
      </c>
    </row>
    <row r="54" spans="1:9" ht="13.5" thickBot="1">
      <c r="A54" s="31"/>
      <c r="B54" s="87" t="s">
        <v>38</v>
      </c>
      <c r="C54" s="87"/>
      <c r="D54" s="87"/>
      <c r="E54" s="87"/>
      <c r="F54" s="87"/>
      <c r="G54" s="42">
        <f>SUM(G52:G53)</f>
        <v>2764.8</v>
      </c>
      <c r="H54" s="88"/>
      <c r="I54" s="185">
        <f>SUM(I52:I53)</f>
        <v>3179.5200000000004</v>
      </c>
    </row>
    <row r="55" spans="1:9" ht="13.5" thickBot="1">
      <c r="A55" s="65">
        <v>8</v>
      </c>
      <c r="B55" s="66"/>
      <c r="C55" s="67" t="s">
        <v>71</v>
      </c>
      <c r="D55" s="95"/>
      <c r="E55" s="94"/>
      <c r="F55" s="66"/>
      <c r="G55" s="150"/>
      <c r="H55" s="76"/>
      <c r="I55" s="183"/>
    </row>
    <row r="56" spans="1:9" ht="17.25" customHeight="1">
      <c r="A56" s="31" t="s">
        <v>19</v>
      </c>
      <c r="B56" s="169" t="s">
        <v>126</v>
      </c>
      <c r="C56" s="170" t="s">
        <v>127</v>
      </c>
      <c r="D56" s="96" t="s">
        <v>49</v>
      </c>
      <c r="E56" s="41">
        <f>6*(2*1.15)</f>
        <v>13.799999999999999</v>
      </c>
      <c r="F56" s="49">
        <v>642.96</v>
      </c>
      <c r="G56" s="149">
        <f>E56*F56</f>
        <v>8872.848</v>
      </c>
      <c r="H56" s="146">
        <f>F56*1.2</f>
        <v>771.552</v>
      </c>
      <c r="I56" s="181">
        <f>G56*1.15</f>
        <v>10203.7752</v>
      </c>
    </row>
    <row r="57" spans="1:9" ht="13.5" thickBot="1">
      <c r="A57" s="31"/>
      <c r="B57" s="87" t="s">
        <v>38</v>
      </c>
      <c r="C57" s="87"/>
      <c r="D57" s="87"/>
      <c r="E57" s="87"/>
      <c r="F57" s="87"/>
      <c r="G57" s="48">
        <f>SUM(G56:G56)</f>
        <v>8872.848</v>
      </c>
      <c r="H57" s="88"/>
      <c r="I57" s="186">
        <f>SUM(I56:I56)</f>
        <v>10203.7752</v>
      </c>
    </row>
    <row r="58" spans="1:9" ht="13.5" thickBot="1">
      <c r="A58" s="65">
        <v>9</v>
      </c>
      <c r="B58" s="66"/>
      <c r="C58" s="67" t="s">
        <v>128</v>
      </c>
      <c r="D58" s="67"/>
      <c r="E58" s="68"/>
      <c r="F58" s="66"/>
      <c r="G58" s="150"/>
      <c r="H58" s="76"/>
      <c r="I58" s="183"/>
    </row>
    <row r="59" spans="1:9" ht="27" customHeight="1">
      <c r="A59" s="31" t="s">
        <v>20</v>
      </c>
      <c r="B59" s="45" t="s">
        <v>129</v>
      </c>
      <c r="C59" s="166" t="s">
        <v>130</v>
      </c>
      <c r="D59" s="159" t="s">
        <v>131</v>
      </c>
      <c r="E59" s="43">
        <v>2</v>
      </c>
      <c r="F59" s="49">
        <v>373.22</v>
      </c>
      <c r="G59" s="149">
        <f>E59*F59</f>
        <v>746.44</v>
      </c>
      <c r="H59" s="146">
        <f>F59*1.2</f>
        <v>447.86400000000003</v>
      </c>
      <c r="I59" s="181">
        <f>G59*1.15</f>
        <v>858.406</v>
      </c>
    </row>
    <row r="60" spans="1:9" ht="13.5" thickBot="1">
      <c r="A60" s="31"/>
      <c r="B60" s="87" t="s">
        <v>38</v>
      </c>
      <c r="C60" s="87"/>
      <c r="D60" s="87"/>
      <c r="E60" s="87"/>
      <c r="F60" s="87"/>
      <c r="G60" s="48">
        <f>SUM(G59:G59)</f>
        <v>746.44</v>
      </c>
      <c r="H60" s="88"/>
      <c r="I60" s="186">
        <f>SUM(I59:I59)</f>
        <v>858.406</v>
      </c>
    </row>
    <row r="61" spans="1:9" ht="13.5" thickBot="1">
      <c r="A61" s="65">
        <v>10</v>
      </c>
      <c r="B61" s="66"/>
      <c r="C61" s="67" t="s">
        <v>133</v>
      </c>
      <c r="D61" s="67"/>
      <c r="E61" s="68"/>
      <c r="F61" s="66"/>
      <c r="G61" s="150"/>
      <c r="H61" s="87"/>
      <c r="I61" s="183"/>
    </row>
    <row r="62" spans="1:9" ht="21" customHeight="1" thickBot="1">
      <c r="A62" s="31" t="s">
        <v>21</v>
      </c>
      <c r="B62" s="158" t="s">
        <v>98</v>
      </c>
      <c r="C62" s="171" t="s">
        <v>2</v>
      </c>
      <c r="D62" s="37" t="s">
        <v>52</v>
      </c>
      <c r="E62" s="41">
        <f>((6*8*2)+(2*8))*0.05</f>
        <v>5.6000000000000005</v>
      </c>
      <c r="F62" s="49">
        <v>11.36</v>
      </c>
      <c r="G62" s="149">
        <f aca="true" t="shared" si="3" ref="G62:G67">E62*F62</f>
        <v>63.616</v>
      </c>
      <c r="H62" s="87"/>
      <c r="I62" s="181">
        <f aca="true" t="shared" si="4" ref="I62:I67">G62*1.15</f>
        <v>73.1584</v>
      </c>
    </row>
    <row r="63" spans="1:9" ht="30.75" customHeight="1" thickBot="1">
      <c r="A63" s="31" t="s">
        <v>63</v>
      </c>
      <c r="B63" s="158" t="s">
        <v>142</v>
      </c>
      <c r="C63" s="172" t="s">
        <v>143</v>
      </c>
      <c r="D63" s="37" t="s">
        <v>52</v>
      </c>
      <c r="E63" s="41">
        <f>((6*8*2)+(2*8))*0.05</f>
        <v>5.6000000000000005</v>
      </c>
      <c r="F63" s="49">
        <v>51.34</v>
      </c>
      <c r="G63" s="149">
        <f t="shared" si="3"/>
        <v>287.504</v>
      </c>
      <c r="H63" s="87"/>
      <c r="I63" s="181">
        <f t="shared" si="4"/>
        <v>330.6296</v>
      </c>
    </row>
    <row r="64" spans="1:9" ht="39" thickBot="1">
      <c r="A64" s="31" t="s">
        <v>64</v>
      </c>
      <c r="B64" s="169" t="s">
        <v>134</v>
      </c>
      <c r="C64" s="170" t="s">
        <v>135</v>
      </c>
      <c r="D64" s="96" t="s">
        <v>49</v>
      </c>
      <c r="E64" s="41">
        <f>(6*8*2)+(2*8)</f>
        <v>112</v>
      </c>
      <c r="F64" s="49">
        <v>34.75</v>
      </c>
      <c r="G64" s="149">
        <f t="shared" si="3"/>
        <v>3892</v>
      </c>
      <c r="H64" s="87"/>
      <c r="I64" s="181">
        <f t="shared" si="4"/>
        <v>4475.799999999999</v>
      </c>
    </row>
    <row r="65" spans="1:9" ht="51.75" thickBot="1">
      <c r="A65" s="31" t="s">
        <v>65</v>
      </c>
      <c r="B65" s="169" t="s">
        <v>137</v>
      </c>
      <c r="C65" s="170" t="s">
        <v>136</v>
      </c>
      <c r="D65" s="96" t="s">
        <v>51</v>
      </c>
      <c r="E65" s="41">
        <f>((6+6+8+8)*2)+(8+8+2)</f>
        <v>74</v>
      </c>
      <c r="F65" s="49">
        <v>14.62</v>
      </c>
      <c r="G65" s="149">
        <f t="shared" si="3"/>
        <v>1081.8799999999999</v>
      </c>
      <c r="H65" s="87"/>
      <c r="I65" s="181">
        <f t="shared" si="4"/>
        <v>1244.1619999999998</v>
      </c>
    </row>
    <row r="66" spans="1:9" ht="39" thickBot="1">
      <c r="A66" s="31" t="s">
        <v>66</v>
      </c>
      <c r="B66" s="169" t="s">
        <v>138</v>
      </c>
      <c r="C66" s="170" t="s">
        <v>139</v>
      </c>
      <c r="D66" s="96" t="s">
        <v>49</v>
      </c>
      <c r="E66" s="41">
        <f>(6*8*2)+(2*8)</f>
        <v>112</v>
      </c>
      <c r="F66" s="49">
        <v>9.13</v>
      </c>
      <c r="G66" s="149">
        <f t="shared" si="3"/>
        <v>1022.5600000000001</v>
      </c>
      <c r="H66" s="87"/>
      <c r="I66" s="181">
        <f t="shared" si="4"/>
        <v>1175.944</v>
      </c>
    </row>
    <row r="67" spans="1:9" ht="39" thickBot="1">
      <c r="A67" s="31" t="s">
        <v>67</v>
      </c>
      <c r="B67" s="169" t="s">
        <v>140</v>
      </c>
      <c r="C67" s="170" t="s">
        <v>141</v>
      </c>
      <c r="D67" s="96" t="s">
        <v>51</v>
      </c>
      <c r="E67" s="41">
        <f>E65</f>
        <v>74</v>
      </c>
      <c r="F67" s="49">
        <v>0.81</v>
      </c>
      <c r="G67" s="149">
        <f t="shared" si="3"/>
        <v>59.940000000000005</v>
      </c>
      <c r="H67" s="87"/>
      <c r="I67" s="181">
        <f t="shared" si="4"/>
        <v>68.931</v>
      </c>
    </row>
    <row r="68" spans="1:9" ht="13.5" thickBot="1">
      <c r="A68" s="31"/>
      <c r="B68" s="87" t="s">
        <v>38</v>
      </c>
      <c r="C68" s="87"/>
      <c r="D68" s="87"/>
      <c r="E68" s="87"/>
      <c r="F68" s="87"/>
      <c r="G68" s="48">
        <f>G62+G63+G64+G65+G66+G67</f>
        <v>6407.5</v>
      </c>
      <c r="H68" s="87"/>
      <c r="I68" s="186">
        <f>I62+I63+I64+I65+I66+I67</f>
        <v>7368.624999999999</v>
      </c>
    </row>
    <row r="69" spans="1:9" ht="13.5" thickBot="1">
      <c r="A69" s="65">
        <v>11</v>
      </c>
      <c r="B69" s="173"/>
      <c r="C69" s="95" t="s">
        <v>153</v>
      </c>
      <c r="D69" s="67"/>
      <c r="E69" s="68"/>
      <c r="F69" s="66"/>
      <c r="G69" s="150"/>
      <c r="H69" s="87"/>
      <c r="I69" s="183"/>
    </row>
    <row r="70" spans="1:9" ht="26.25" thickBot="1">
      <c r="A70" s="31" t="s">
        <v>132</v>
      </c>
      <c r="B70" s="96" t="s">
        <v>154</v>
      </c>
      <c r="C70" s="178" t="s">
        <v>155</v>
      </c>
      <c r="D70" s="158" t="s">
        <v>49</v>
      </c>
      <c r="E70" s="163">
        <f>E75</f>
        <v>123.34</v>
      </c>
      <c r="F70" s="163">
        <v>31.44</v>
      </c>
      <c r="G70" s="163">
        <f>E70*F70</f>
        <v>3877.8096</v>
      </c>
      <c r="H70" s="87"/>
      <c r="I70" s="209">
        <f>G70*1.15</f>
        <v>4459.48104</v>
      </c>
    </row>
    <row r="71" spans="1:9" ht="13.5" thickBot="1">
      <c r="A71" s="31"/>
      <c r="B71" s="87" t="s">
        <v>38</v>
      </c>
      <c r="C71" s="87"/>
      <c r="D71" s="87"/>
      <c r="E71" s="87"/>
      <c r="F71" s="87"/>
      <c r="G71" s="48">
        <f>G70</f>
        <v>3877.8096</v>
      </c>
      <c r="H71" s="87"/>
      <c r="I71" s="186">
        <f>I70</f>
        <v>4459.48104</v>
      </c>
    </row>
    <row r="72" spans="1:9" ht="13.5" thickBot="1">
      <c r="A72" s="65">
        <v>12</v>
      </c>
      <c r="B72" s="66"/>
      <c r="C72" s="67" t="s">
        <v>25</v>
      </c>
      <c r="D72" s="67"/>
      <c r="E72" s="68"/>
      <c r="F72" s="66"/>
      <c r="G72" s="150"/>
      <c r="H72" s="87"/>
      <c r="I72" s="183"/>
    </row>
    <row r="73" spans="1:9" ht="15.75" customHeight="1" thickBot="1">
      <c r="A73" s="31" t="s">
        <v>192</v>
      </c>
      <c r="B73" s="177" t="s">
        <v>208</v>
      </c>
      <c r="C73" s="175" t="s">
        <v>82</v>
      </c>
      <c r="D73" s="45" t="s">
        <v>49</v>
      </c>
      <c r="E73" s="43">
        <f>((8+8+6+6)*2+(8+2+8))*3</f>
        <v>222</v>
      </c>
      <c r="F73" s="49">
        <v>15.38</v>
      </c>
      <c r="G73" s="149">
        <f aca="true" t="shared" si="5" ref="G73:G78">E73*F73</f>
        <v>3414.36</v>
      </c>
      <c r="H73" s="87"/>
      <c r="I73" s="181">
        <f aca="true" t="shared" si="6" ref="I73:I78">G73*1.15</f>
        <v>3926.5139999999997</v>
      </c>
    </row>
    <row r="74" spans="1:9" ht="29.25" customHeight="1" thickBot="1">
      <c r="A74" s="31" t="s">
        <v>193</v>
      </c>
      <c r="B74" s="158" t="s">
        <v>149</v>
      </c>
      <c r="C74" s="176" t="s">
        <v>150</v>
      </c>
      <c r="D74" s="45" t="s">
        <v>49</v>
      </c>
      <c r="E74" s="43">
        <f>((8+6+2+6+8)*3)+(14)</f>
        <v>104</v>
      </c>
      <c r="F74" s="49">
        <v>23.22</v>
      </c>
      <c r="G74" s="149">
        <f t="shared" si="5"/>
        <v>2414.88</v>
      </c>
      <c r="H74" s="87"/>
      <c r="I74" s="181">
        <f t="shared" si="6"/>
        <v>2777.112</v>
      </c>
    </row>
    <row r="75" spans="1:9" ht="15.75" customHeight="1" thickBot="1">
      <c r="A75" s="31" t="s">
        <v>194</v>
      </c>
      <c r="B75" s="158" t="s">
        <v>151</v>
      </c>
      <c r="C75" s="176" t="s">
        <v>152</v>
      </c>
      <c r="D75" s="45" t="s">
        <v>49</v>
      </c>
      <c r="E75" s="43">
        <f>((6*8*2)+(2*8))+(0.9*2.1*2)*3</f>
        <v>123.34</v>
      </c>
      <c r="F75" s="49">
        <v>14.54</v>
      </c>
      <c r="G75" s="149">
        <f t="shared" si="5"/>
        <v>1793.3636</v>
      </c>
      <c r="H75" s="87"/>
      <c r="I75" s="181">
        <f t="shared" si="6"/>
        <v>2062.3681399999996</v>
      </c>
    </row>
    <row r="76" spans="1:9" ht="15.75" customHeight="1" thickBot="1">
      <c r="A76" s="31" t="s">
        <v>195</v>
      </c>
      <c r="B76" s="174" t="s">
        <v>147</v>
      </c>
      <c r="C76" s="176" t="s">
        <v>146</v>
      </c>
      <c r="D76" s="45" t="s">
        <v>49</v>
      </c>
      <c r="E76" s="43">
        <f>5*1.5*2</f>
        <v>15</v>
      </c>
      <c r="F76" s="49">
        <v>15.66</v>
      </c>
      <c r="G76" s="149">
        <f t="shared" si="5"/>
        <v>234.9</v>
      </c>
      <c r="H76" s="87"/>
      <c r="I76" s="181">
        <f t="shared" si="6"/>
        <v>270.135</v>
      </c>
    </row>
    <row r="77" spans="1:9" ht="15" customHeight="1" thickBot="1">
      <c r="A77" s="31" t="s">
        <v>196</v>
      </c>
      <c r="B77" s="174" t="s">
        <v>144</v>
      </c>
      <c r="C77" s="176" t="s">
        <v>145</v>
      </c>
      <c r="D77" s="45" t="s">
        <v>49</v>
      </c>
      <c r="E77" s="43">
        <f>5*1.5*2</f>
        <v>15</v>
      </c>
      <c r="F77" s="49">
        <v>16.33</v>
      </c>
      <c r="G77" s="149">
        <f t="shared" si="5"/>
        <v>244.95</v>
      </c>
      <c r="H77" s="87"/>
      <c r="I77" s="181">
        <f t="shared" si="6"/>
        <v>281.69249999999994</v>
      </c>
    </row>
    <row r="78" spans="1:9" ht="16.5" customHeight="1" thickBot="1">
      <c r="A78" s="31" t="s">
        <v>197</v>
      </c>
      <c r="B78" s="96" t="s">
        <v>148</v>
      </c>
      <c r="C78" s="175" t="s">
        <v>77</v>
      </c>
      <c r="D78" s="96" t="s">
        <v>49</v>
      </c>
      <c r="E78" s="41">
        <f>6*(2*1.15)</f>
        <v>13.799999999999999</v>
      </c>
      <c r="F78" s="49">
        <v>25.04</v>
      </c>
      <c r="G78" s="149">
        <f t="shared" si="5"/>
        <v>345.55199999999996</v>
      </c>
      <c r="H78" s="87"/>
      <c r="I78" s="181">
        <f t="shared" si="6"/>
        <v>397.3847999999999</v>
      </c>
    </row>
    <row r="79" spans="1:9" ht="13.5" thickBot="1">
      <c r="A79" s="31"/>
      <c r="B79" s="87" t="s">
        <v>38</v>
      </c>
      <c r="C79" s="87"/>
      <c r="D79" s="87"/>
      <c r="E79" s="87"/>
      <c r="F79" s="87"/>
      <c r="G79" s="48">
        <f>SUM(G73:G78)</f>
        <v>8448.005599999999</v>
      </c>
      <c r="H79" s="87"/>
      <c r="I79" s="186">
        <f>SUM(I73:I78)</f>
        <v>9715.206439999998</v>
      </c>
    </row>
    <row r="80" spans="1:9" ht="13.5" thickBot="1">
      <c r="A80" s="65">
        <v>13</v>
      </c>
      <c r="B80" s="66"/>
      <c r="C80" s="67" t="s">
        <v>83</v>
      </c>
      <c r="D80" s="67"/>
      <c r="E80" s="68"/>
      <c r="F80" s="66"/>
      <c r="G80" s="150"/>
      <c r="H80" s="76"/>
      <c r="I80" s="183"/>
    </row>
    <row r="81" spans="1:9" ht="25.5">
      <c r="A81" s="31" t="s">
        <v>198</v>
      </c>
      <c r="B81" s="158" t="s">
        <v>158</v>
      </c>
      <c r="C81" s="103" t="s">
        <v>159</v>
      </c>
      <c r="D81" s="45" t="s">
        <v>5</v>
      </c>
      <c r="E81" s="43">
        <v>16</v>
      </c>
      <c r="F81" s="49">
        <v>16.79</v>
      </c>
      <c r="G81" s="149">
        <f aca="true" t="shared" si="7" ref="G81:G87">E81*F81</f>
        <v>268.64</v>
      </c>
      <c r="H81" s="146">
        <f>F81*1.2</f>
        <v>20.148</v>
      </c>
      <c r="I81" s="181">
        <f>G81*1.15</f>
        <v>308.936</v>
      </c>
    </row>
    <row r="82" spans="1:9" ht="25.5">
      <c r="A82" s="31" t="s">
        <v>199</v>
      </c>
      <c r="B82" s="160" t="s">
        <v>160</v>
      </c>
      <c r="C82" s="50" t="s">
        <v>54</v>
      </c>
      <c r="D82" s="47" t="s">
        <v>5</v>
      </c>
      <c r="E82" s="41">
        <v>1</v>
      </c>
      <c r="F82" s="49">
        <v>18.31</v>
      </c>
      <c r="G82" s="149">
        <f t="shared" si="7"/>
        <v>18.31</v>
      </c>
      <c r="H82" s="146">
        <f aca="true" t="shared" si="8" ref="H82:H88">F82*1.2</f>
        <v>21.971999999999998</v>
      </c>
      <c r="I82" s="181">
        <f aca="true" t="shared" si="9" ref="I82:I88">G82*1.15</f>
        <v>21.056499999999996</v>
      </c>
    </row>
    <row r="83" spans="1:9" ht="25.5">
      <c r="A83" s="31" t="s">
        <v>200</v>
      </c>
      <c r="B83" s="160" t="s">
        <v>164</v>
      </c>
      <c r="C83" s="46" t="s">
        <v>55</v>
      </c>
      <c r="D83" s="47" t="s">
        <v>51</v>
      </c>
      <c r="E83" s="41">
        <v>50</v>
      </c>
      <c r="F83" s="49">
        <v>10.23</v>
      </c>
      <c r="G83" s="149">
        <f t="shared" si="7"/>
        <v>511.5</v>
      </c>
      <c r="H83" s="146">
        <f t="shared" si="8"/>
        <v>12.276</v>
      </c>
      <c r="I83" s="181">
        <f t="shared" si="9"/>
        <v>588.2249999999999</v>
      </c>
    </row>
    <row r="84" spans="1:9" ht="51">
      <c r="A84" s="31" t="s">
        <v>201</v>
      </c>
      <c r="B84" s="158" t="s">
        <v>162</v>
      </c>
      <c r="C84" s="179" t="s">
        <v>161</v>
      </c>
      <c r="D84" s="160" t="s">
        <v>163</v>
      </c>
      <c r="E84" s="41">
        <v>8</v>
      </c>
      <c r="F84" s="49">
        <v>73.39</v>
      </c>
      <c r="G84" s="149">
        <f t="shared" si="7"/>
        <v>587.12</v>
      </c>
      <c r="H84" s="146">
        <f t="shared" si="8"/>
        <v>88.068</v>
      </c>
      <c r="I84" s="181">
        <f t="shared" si="9"/>
        <v>675.188</v>
      </c>
    </row>
    <row r="85" spans="1:9" ht="25.5">
      <c r="A85" s="31" t="s">
        <v>202</v>
      </c>
      <c r="B85" s="158" t="s">
        <v>165</v>
      </c>
      <c r="C85" s="179" t="s">
        <v>166</v>
      </c>
      <c r="D85" s="47" t="s">
        <v>51</v>
      </c>
      <c r="E85" s="41">
        <v>200</v>
      </c>
      <c r="F85" s="49">
        <v>2.87</v>
      </c>
      <c r="G85" s="149">
        <f t="shared" si="7"/>
        <v>574</v>
      </c>
      <c r="H85" s="146">
        <f t="shared" si="8"/>
        <v>3.444</v>
      </c>
      <c r="I85" s="181">
        <f t="shared" si="9"/>
        <v>660.0999999999999</v>
      </c>
    </row>
    <row r="86" spans="1:9" ht="17.25" customHeight="1">
      <c r="A86" s="31" t="s">
        <v>203</v>
      </c>
      <c r="B86" s="158" t="s">
        <v>167</v>
      </c>
      <c r="C86" s="179" t="s">
        <v>169</v>
      </c>
      <c r="D86" s="47" t="s">
        <v>6</v>
      </c>
      <c r="E86" s="41">
        <v>8</v>
      </c>
      <c r="F86" s="49">
        <v>16.26</v>
      </c>
      <c r="G86" s="149">
        <f t="shared" si="7"/>
        <v>130.08</v>
      </c>
      <c r="H86" s="146">
        <f t="shared" si="8"/>
        <v>19.512</v>
      </c>
      <c r="I86" s="181">
        <f t="shared" si="9"/>
        <v>149.592</v>
      </c>
    </row>
    <row r="87" spans="1:9" ht="16.5" customHeight="1">
      <c r="A87" s="31" t="s">
        <v>204</v>
      </c>
      <c r="B87" s="158" t="s">
        <v>207</v>
      </c>
      <c r="C87" s="46" t="s">
        <v>168</v>
      </c>
      <c r="D87" s="47" t="s">
        <v>6</v>
      </c>
      <c r="E87" s="41">
        <v>3</v>
      </c>
      <c r="F87" s="144">
        <v>21.7</v>
      </c>
      <c r="G87" s="149">
        <f t="shared" si="7"/>
        <v>65.1</v>
      </c>
      <c r="H87" s="146">
        <f t="shared" si="8"/>
        <v>26.04</v>
      </c>
      <c r="I87" s="181">
        <f t="shared" si="9"/>
        <v>74.86499999999998</v>
      </c>
    </row>
    <row r="88" spans="1:9" ht="38.25">
      <c r="A88" s="31" t="s">
        <v>205</v>
      </c>
      <c r="B88" s="169" t="s">
        <v>156</v>
      </c>
      <c r="C88" s="50" t="s">
        <v>157</v>
      </c>
      <c r="D88" s="47" t="s">
        <v>5</v>
      </c>
      <c r="E88" s="41">
        <v>10</v>
      </c>
      <c r="F88" s="49">
        <v>117.49</v>
      </c>
      <c r="G88" s="149">
        <f>F88</f>
        <v>117.49</v>
      </c>
      <c r="H88" s="146">
        <f t="shared" si="8"/>
        <v>140.988</v>
      </c>
      <c r="I88" s="181">
        <f t="shared" si="9"/>
        <v>135.1135</v>
      </c>
    </row>
    <row r="89" spans="1:9" ht="21.75" customHeight="1" thickBot="1">
      <c r="A89" s="31"/>
      <c r="B89" s="87" t="s">
        <v>38</v>
      </c>
      <c r="C89" s="87"/>
      <c r="D89" s="87"/>
      <c r="E89" s="87"/>
      <c r="F89" s="87"/>
      <c r="G89" s="48">
        <f>SUM(G81:G88)</f>
        <v>2272.24</v>
      </c>
      <c r="H89" s="88"/>
      <c r="I89" s="186">
        <f>SUM(I81:I88)</f>
        <v>2613.0759999999996</v>
      </c>
    </row>
    <row r="90" spans="1:9" ht="19.5" customHeight="1" thickBot="1">
      <c r="A90" s="51"/>
      <c r="B90" s="52"/>
      <c r="C90" s="53"/>
      <c r="D90" s="54" t="s">
        <v>1</v>
      </c>
      <c r="E90" s="55"/>
      <c r="F90" s="84"/>
      <c r="G90" s="56">
        <f>G18+G21+G34+G41+G45+G50+G54+G57+G60+G68+G71+G79+G89</f>
        <v>84220.36952800001</v>
      </c>
      <c r="H90" s="77"/>
      <c r="I90" s="187">
        <f>I18+I21+I34+I41+I45+I50+I54+I57+I60+I68+I71+I79+I89</f>
        <v>96853.4249572</v>
      </c>
    </row>
    <row r="91" spans="1:9" ht="12.75">
      <c r="A91" s="127"/>
      <c r="B91" s="1"/>
      <c r="C91" s="128"/>
      <c r="D91" s="1"/>
      <c r="E91" s="124"/>
      <c r="F91" s="125"/>
      <c r="G91" s="125"/>
      <c r="H91" s="126"/>
      <c r="I91" s="188"/>
    </row>
    <row r="92" spans="1:9" ht="19.5" customHeight="1">
      <c r="A92" s="127"/>
      <c r="B92" s="1"/>
      <c r="C92" s="97" t="s">
        <v>78</v>
      </c>
      <c r="D92" s="98">
        <f>(6*8*2)+(8*2)</f>
        <v>112</v>
      </c>
      <c r="E92" s="99" t="s">
        <v>79</v>
      </c>
      <c r="F92" s="125"/>
      <c r="G92" s="125"/>
      <c r="H92" s="126"/>
      <c r="I92" s="188"/>
    </row>
    <row r="93" spans="1:9" ht="18.75" customHeight="1">
      <c r="A93" s="127"/>
      <c r="B93" s="1"/>
      <c r="C93" s="100" t="s">
        <v>80</v>
      </c>
      <c r="D93" s="101">
        <f>I90/D92</f>
        <v>864.7627228321428</v>
      </c>
      <c r="E93" s="102"/>
      <c r="F93" s="125"/>
      <c r="G93" s="125"/>
      <c r="H93" s="126"/>
      <c r="I93" s="194"/>
    </row>
    <row r="94" spans="1:9" ht="12.75">
      <c r="A94" s="127"/>
      <c r="B94" s="1"/>
      <c r="C94" s="128"/>
      <c r="D94" s="1"/>
      <c r="E94" s="124"/>
      <c r="F94" s="125"/>
      <c r="G94" s="125"/>
      <c r="H94" s="126"/>
      <c r="I94" s="194"/>
    </row>
    <row r="95" spans="1:9" ht="12.75">
      <c r="A95" s="127"/>
      <c r="B95" s="1"/>
      <c r="C95" s="128"/>
      <c r="D95" s="1"/>
      <c r="E95" s="124"/>
      <c r="F95" s="125"/>
      <c r="G95" s="125"/>
      <c r="H95" s="126"/>
      <c r="I95" s="194"/>
    </row>
    <row r="96" spans="1:9" ht="12.75">
      <c r="A96" s="127"/>
      <c r="B96" s="136"/>
      <c r="C96" s="60"/>
      <c r="D96" s="60"/>
      <c r="E96" s="60"/>
      <c r="F96" s="137"/>
      <c r="G96" s="137"/>
      <c r="H96" s="131"/>
      <c r="I96" s="194"/>
    </row>
    <row r="97" spans="1:9" ht="12.75">
      <c r="A97" s="127"/>
      <c r="B97" s="129"/>
      <c r="C97" s="60"/>
      <c r="D97" s="30"/>
      <c r="E97" s="30"/>
      <c r="F97" s="85"/>
      <c r="G97" s="137"/>
      <c r="H97" s="78"/>
      <c r="I97" s="194"/>
    </row>
    <row r="98" spans="1:9" ht="12.75">
      <c r="A98" s="127" t="s">
        <v>206</v>
      </c>
      <c r="B98" s="129"/>
      <c r="C98" s="60"/>
      <c r="D98" s="60" t="s">
        <v>74</v>
      </c>
      <c r="E98" s="60"/>
      <c r="F98" s="137"/>
      <c r="G98" s="137"/>
      <c r="H98" s="131"/>
      <c r="I98" s="194"/>
    </row>
    <row r="99" spans="1:9" ht="12.75">
      <c r="A99" s="127"/>
      <c r="B99" s="129"/>
      <c r="C99" s="60"/>
      <c r="D99" s="60" t="s">
        <v>7</v>
      </c>
      <c r="E99" s="60"/>
      <c r="F99" s="137"/>
      <c r="G99" s="137"/>
      <c r="H99" s="131"/>
      <c r="I99" s="194"/>
    </row>
    <row r="100" spans="1:9" ht="12.75">
      <c r="A100" s="127"/>
      <c r="B100" s="129"/>
      <c r="C100" s="60"/>
      <c r="D100" s="60" t="s">
        <v>75</v>
      </c>
      <c r="E100" s="60"/>
      <c r="F100" s="137"/>
      <c r="G100" s="137"/>
      <c r="H100" s="131"/>
      <c r="I100" s="194"/>
    </row>
    <row r="101" spans="1:9" ht="13.5" thickBot="1">
      <c r="A101" s="138"/>
      <c r="B101" s="139"/>
      <c r="C101" s="140"/>
      <c r="D101" s="139"/>
      <c r="E101" s="141"/>
      <c r="F101" s="142"/>
      <c r="G101" s="142"/>
      <c r="H101" s="143"/>
      <c r="I101" s="199"/>
    </row>
  </sheetData>
  <sheetProtection/>
  <mergeCells count="9">
    <mergeCell ref="I12:I13"/>
    <mergeCell ref="F11:G11"/>
    <mergeCell ref="B12:B13"/>
    <mergeCell ref="D12:D13"/>
    <mergeCell ref="E12:E13"/>
    <mergeCell ref="F12:F13"/>
    <mergeCell ref="H12:H13"/>
    <mergeCell ref="G12:G13"/>
    <mergeCell ref="C12:C13"/>
  </mergeCells>
  <printOptions horizontalCentered="1"/>
  <pageMargins left="0.17" right="0.2" top="0.37" bottom="0.67" header="0" footer="0.3937007874015748"/>
  <pageSetup horizontalDpi="300" verticalDpi="300" orientation="portrait" paperSize="9" scale="63" r:id="rId3"/>
  <headerFooter alignWithMargins="0">
    <oddFooter>&amp;CPágina &amp;P</oddFooter>
  </headerFooter>
  <rowBreaks count="1" manualBreakCount="1">
    <brk id="57" max="8" man="1"/>
  </rowBreaks>
  <legacyDrawing r:id="rId2"/>
  <oleObjects>
    <oleObject progId="PBrush" shapeId="23264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B53" sqref="B53"/>
    </sheetView>
  </sheetViews>
  <sheetFormatPr defaultColWidth="9.140625" defaultRowHeight="12.75"/>
  <cols>
    <col min="1" max="1" width="6.57421875" style="0" customWidth="1"/>
    <col min="2" max="2" width="39.421875" style="0" customWidth="1"/>
    <col min="3" max="3" width="13.421875" style="0" customWidth="1"/>
    <col min="4" max="4" width="14.28125" style="0" customWidth="1"/>
    <col min="5" max="5" width="13.140625" style="0" customWidth="1"/>
    <col min="6" max="6" width="13.00390625" style="0" customWidth="1"/>
    <col min="7" max="7" width="13.7109375" style="0" customWidth="1"/>
  </cols>
  <sheetData>
    <row r="1" spans="1:7" ht="12.75">
      <c r="A1" s="224"/>
      <c r="B1" s="225"/>
      <c r="C1" s="225"/>
      <c r="D1" s="225"/>
      <c r="E1" s="225"/>
      <c r="F1" s="225"/>
      <c r="G1" s="226"/>
    </row>
    <row r="2" spans="1:8" ht="12.75" customHeight="1">
      <c r="A2" s="227"/>
      <c r="B2" s="211"/>
      <c r="C2" s="212"/>
      <c r="D2" s="213"/>
      <c r="E2" s="214"/>
      <c r="F2" s="215"/>
      <c r="G2" s="188"/>
      <c r="H2" s="126"/>
    </row>
    <row r="3" spans="1:8" ht="27.75" customHeight="1">
      <c r="A3" s="228"/>
      <c r="B3" s="216"/>
      <c r="C3" s="217" t="s">
        <v>182</v>
      </c>
      <c r="D3" s="216"/>
      <c r="E3" s="218"/>
      <c r="F3" s="219"/>
      <c r="G3" s="229"/>
      <c r="H3" s="115"/>
    </row>
    <row r="4" spans="1:8" ht="27.75" customHeight="1">
      <c r="A4" s="228"/>
      <c r="B4" s="216"/>
      <c r="C4" s="217" t="s">
        <v>183</v>
      </c>
      <c r="D4" s="216"/>
      <c r="E4" s="218"/>
      <c r="F4" s="219"/>
      <c r="G4" s="229"/>
      <c r="H4" s="115"/>
    </row>
    <row r="5" spans="1:8" ht="27.75" customHeight="1">
      <c r="A5" s="230"/>
      <c r="B5" s="220"/>
      <c r="C5" s="221" t="s">
        <v>184</v>
      </c>
      <c r="D5" s="220"/>
      <c r="E5" s="222"/>
      <c r="F5" s="223"/>
      <c r="G5" s="231"/>
      <c r="H5" s="120"/>
    </row>
    <row r="6" spans="1:8" ht="27.75" customHeight="1">
      <c r="A6" s="230"/>
      <c r="B6" s="259" t="s">
        <v>187</v>
      </c>
      <c r="C6" s="221"/>
      <c r="D6" s="220"/>
      <c r="E6" s="222"/>
      <c r="F6" s="223"/>
      <c r="G6" s="231"/>
      <c r="H6" s="120"/>
    </row>
    <row r="7" spans="1:8" ht="27.75" customHeight="1">
      <c r="A7" s="260" t="s">
        <v>186</v>
      </c>
      <c r="B7" s="220"/>
      <c r="C7" s="221"/>
      <c r="D7" s="220"/>
      <c r="E7" s="222"/>
      <c r="F7" s="223"/>
      <c r="G7" s="231"/>
      <c r="H7" s="120"/>
    </row>
    <row r="8" spans="1:8" ht="27.75" customHeight="1">
      <c r="A8" s="260" t="s">
        <v>185</v>
      </c>
      <c r="B8" s="220"/>
      <c r="C8" s="221"/>
      <c r="D8" s="220"/>
      <c r="E8" s="222"/>
      <c r="F8" s="223"/>
      <c r="G8" s="231"/>
      <c r="H8" s="120"/>
    </row>
    <row r="9" spans="1:8" ht="12.75" customHeight="1" thickBot="1">
      <c r="A9" s="232"/>
      <c r="B9" s="233"/>
      <c r="C9" s="234"/>
      <c r="D9" s="233"/>
      <c r="E9" s="235"/>
      <c r="F9" s="236"/>
      <c r="G9" s="237"/>
      <c r="H9" s="126"/>
    </row>
    <row r="10" spans="1:7" ht="13.5" thickBot="1">
      <c r="A10" s="261"/>
      <c r="B10" s="262"/>
      <c r="C10" s="293" t="s">
        <v>177</v>
      </c>
      <c r="D10" s="294"/>
      <c r="E10" s="294"/>
      <c r="F10" s="294"/>
      <c r="G10" s="295"/>
    </row>
    <row r="11" spans="1:7" ht="13.5" thickBot="1">
      <c r="A11" s="251" t="s">
        <v>42</v>
      </c>
      <c r="B11" s="252" t="s">
        <v>48</v>
      </c>
      <c r="C11" s="253" t="s">
        <v>176</v>
      </c>
      <c r="D11" s="254" t="s">
        <v>172</v>
      </c>
      <c r="E11" s="254" t="s">
        <v>173</v>
      </c>
      <c r="F11" s="254" t="s">
        <v>174</v>
      </c>
      <c r="G11" s="254" t="s">
        <v>175</v>
      </c>
    </row>
    <row r="12" spans="1:7" ht="13.5" thickBot="1">
      <c r="A12" s="261"/>
      <c r="B12" s="262"/>
      <c r="C12" s="239"/>
      <c r="D12" s="239"/>
      <c r="E12" s="239"/>
      <c r="F12" s="239"/>
      <c r="G12" s="240"/>
    </row>
    <row r="13" spans="1:7" ht="13.5" thickBot="1">
      <c r="A13" s="258">
        <v>1</v>
      </c>
      <c r="B13" s="256" t="s">
        <v>178</v>
      </c>
      <c r="C13" s="243"/>
      <c r="D13" s="243"/>
      <c r="E13" s="244"/>
      <c r="F13" s="244"/>
      <c r="G13" s="245"/>
    </row>
    <row r="14" spans="1:7" ht="12.75">
      <c r="A14" s="261"/>
      <c r="B14" s="263"/>
      <c r="C14" s="274">
        <v>2549.27</v>
      </c>
      <c r="D14" s="241">
        <f>C14</f>
        <v>2549.27</v>
      </c>
      <c r="E14" s="241"/>
      <c r="F14" s="241"/>
      <c r="G14" s="242"/>
    </row>
    <row r="15" spans="1:7" ht="13.5" thickBot="1">
      <c r="A15" s="261"/>
      <c r="B15" s="264"/>
      <c r="C15" s="246"/>
      <c r="D15" s="246"/>
      <c r="E15" s="246"/>
      <c r="F15" s="246"/>
      <c r="G15" s="247"/>
    </row>
    <row r="16" spans="1:7" ht="13.5" thickBot="1">
      <c r="A16" s="258">
        <v>2</v>
      </c>
      <c r="B16" s="256" t="s">
        <v>68</v>
      </c>
      <c r="C16" s="244"/>
      <c r="D16" s="244"/>
      <c r="E16" s="244"/>
      <c r="F16" s="244"/>
      <c r="G16" s="245"/>
    </row>
    <row r="17" spans="1:7" ht="12.75">
      <c r="A17" s="261"/>
      <c r="B17" s="264"/>
      <c r="C17" s="274">
        <v>1018.81</v>
      </c>
      <c r="D17" s="241">
        <f>C17</f>
        <v>1018.81</v>
      </c>
      <c r="E17" s="241"/>
      <c r="F17" s="241"/>
      <c r="G17" s="242"/>
    </row>
    <row r="18" spans="1:7" ht="13.5" thickBot="1">
      <c r="A18" s="261"/>
      <c r="B18" s="264"/>
      <c r="C18" s="248"/>
      <c r="D18" s="248"/>
      <c r="E18" s="248"/>
      <c r="F18" s="248"/>
      <c r="G18" s="249"/>
    </row>
    <row r="19" spans="1:7" ht="13.5" thickBot="1">
      <c r="A19" s="258">
        <v>3</v>
      </c>
      <c r="B19" s="256" t="s">
        <v>56</v>
      </c>
      <c r="C19" s="250"/>
      <c r="D19" s="250"/>
      <c r="E19" s="250"/>
      <c r="F19" s="244"/>
      <c r="G19" s="245"/>
    </row>
    <row r="20" spans="1:7" ht="12.75">
      <c r="A20" s="261"/>
      <c r="B20" s="264"/>
      <c r="C20" s="274">
        <v>15672.72</v>
      </c>
      <c r="D20" s="241">
        <f>C20*0.5</f>
        <v>7836.36</v>
      </c>
      <c r="E20" s="241">
        <f>C20*0.5</f>
        <v>7836.36</v>
      </c>
      <c r="F20" s="241"/>
      <c r="G20" s="242"/>
    </row>
    <row r="21" spans="1:7" ht="13.5" thickBot="1">
      <c r="A21" s="261"/>
      <c r="B21" s="264"/>
      <c r="C21" s="248"/>
      <c r="D21" s="248"/>
      <c r="E21" s="248"/>
      <c r="F21" s="248"/>
      <c r="G21" s="249"/>
    </row>
    <row r="22" spans="1:7" ht="13.5" thickBot="1">
      <c r="A22" s="258">
        <v>4</v>
      </c>
      <c r="B22" s="256" t="s">
        <v>57</v>
      </c>
      <c r="C22" s="244"/>
      <c r="D22" s="244"/>
      <c r="E22" s="244"/>
      <c r="F22" s="244"/>
      <c r="G22" s="245"/>
    </row>
    <row r="23" spans="1:7" ht="12.75">
      <c r="A23" s="261"/>
      <c r="B23" s="264"/>
      <c r="C23" s="274">
        <v>8870.8</v>
      </c>
      <c r="D23" s="241"/>
      <c r="E23" s="241">
        <f>C23*0.4</f>
        <v>3548.3199999999997</v>
      </c>
      <c r="F23" s="241">
        <f>C23*0.6</f>
        <v>5322.48</v>
      </c>
      <c r="G23" s="242"/>
    </row>
    <row r="24" spans="1:7" ht="13.5" thickBot="1">
      <c r="A24" s="261"/>
      <c r="B24" s="264"/>
      <c r="C24" s="248"/>
      <c r="D24" s="248"/>
      <c r="E24" s="248"/>
      <c r="F24" s="248"/>
      <c r="G24" s="249"/>
    </row>
    <row r="25" spans="1:7" ht="13.5" thickBot="1">
      <c r="A25" s="258">
        <v>5</v>
      </c>
      <c r="B25" s="256" t="s">
        <v>22</v>
      </c>
      <c r="C25" s="244"/>
      <c r="D25" s="244"/>
      <c r="E25" s="244"/>
      <c r="F25" s="244"/>
      <c r="G25" s="245"/>
    </row>
    <row r="26" spans="1:7" ht="12.75">
      <c r="A26" s="261"/>
      <c r="B26" s="264"/>
      <c r="C26" s="274">
        <v>11473.61</v>
      </c>
      <c r="D26" s="241">
        <f>C26*0.2</f>
        <v>2294.722</v>
      </c>
      <c r="E26" s="241">
        <f>C26*0.6</f>
        <v>6884.166</v>
      </c>
      <c r="F26" s="241">
        <f>C26*0.2</f>
        <v>2294.722</v>
      </c>
      <c r="G26" s="242"/>
    </row>
    <row r="27" spans="1:7" ht="13.5" thickBot="1">
      <c r="A27" s="261"/>
      <c r="B27" s="264"/>
      <c r="C27" s="248"/>
      <c r="D27" s="248"/>
      <c r="E27" s="248"/>
      <c r="F27" s="248"/>
      <c r="G27" s="249"/>
    </row>
    <row r="28" spans="1:7" ht="13.5" thickBot="1">
      <c r="A28" s="258">
        <v>6</v>
      </c>
      <c r="B28" s="256" t="s">
        <v>23</v>
      </c>
      <c r="C28" s="244"/>
      <c r="D28" s="244"/>
      <c r="E28" s="244"/>
      <c r="F28" s="244"/>
      <c r="G28" s="245"/>
    </row>
    <row r="29" spans="1:7" ht="12.75">
      <c r="A29" s="261"/>
      <c r="B29" s="264"/>
      <c r="C29" s="274">
        <v>18870.12</v>
      </c>
      <c r="D29" s="241"/>
      <c r="E29" s="241"/>
      <c r="F29" s="241">
        <f>C29*0.4</f>
        <v>7548.048</v>
      </c>
      <c r="G29" s="242">
        <f>(C29*0.6)-0.02</f>
        <v>11322.051999999998</v>
      </c>
    </row>
    <row r="30" spans="1:7" ht="13.5" thickBot="1">
      <c r="A30" s="261"/>
      <c r="B30" s="264"/>
      <c r="C30" s="248"/>
      <c r="D30" s="248"/>
      <c r="E30" s="248"/>
      <c r="F30" s="247"/>
      <c r="G30" s="247"/>
    </row>
    <row r="31" spans="1:7" ht="13.5" thickBot="1">
      <c r="A31" s="258">
        <v>7</v>
      </c>
      <c r="B31" s="256" t="s">
        <v>24</v>
      </c>
      <c r="C31" s="244"/>
      <c r="D31" s="244"/>
      <c r="E31" s="244"/>
      <c r="F31" s="244"/>
      <c r="G31" s="245"/>
    </row>
    <row r="32" spans="1:7" ht="12.75">
      <c r="A32" s="261"/>
      <c r="B32" s="264"/>
      <c r="C32" s="274">
        <v>3179.52</v>
      </c>
      <c r="D32" s="241"/>
      <c r="E32" s="241"/>
      <c r="F32" s="241">
        <f>C32*0.3</f>
        <v>953.856</v>
      </c>
      <c r="G32" s="242">
        <f>C32*0.7</f>
        <v>2225.6639999999998</v>
      </c>
    </row>
    <row r="33" spans="1:7" ht="13.5" thickBot="1">
      <c r="A33" s="261"/>
      <c r="B33" s="264"/>
      <c r="C33" s="248"/>
      <c r="D33" s="248"/>
      <c r="E33" s="248"/>
      <c r="F33" s="247"/>
      <c r="G33" s="247"/>
    </row>
    <row r="34" spans="1:7" ht="13.5" thickBot="1">
      <c r="A34" s="258">
        <v>8</v>
      </c>
      <c r="B34" s="256" t="s">
        <v>179</v>
      </c>
      <c r="C34" s="244"/>
      <c r="D34" s="244"/>
      <c r="E34" s="244"/>
      <c r="F34" s="244"/>
      <c r="G34" s="245"/>
    </row>
    <row r="35" spans="1:7" ht="12.75">
      <c r="A35" s="261"/>
      <c r="B35" s="264"/>
      <c r="C35" s="274">
        <v>10203.78</v>
      </c>
      <c r="D35" s="241"/>
      <c r="E35" s="241"/>
      <c r="F35" s="241">
        <f>C35</f>
        <v>10203.78</v>
      </c>
      <c r="G35" s="242"/>
    </row>
    <row r="36" spans="1:7" ht="13.5" thickBot="1">
      <c r="A36" s="261"/>
      <c r="B36" s="264"/>
      <c r="C36" s="248"/>
      <c r="D36" s="248"/>
      <c r="E36" s="248"/>
      <c r="F36" s="248"/>
      <c r="G36" s="249"/>
    </row>
    <row r="37" spans="1:7" ht="13.5" thickBot="1">
      <c r="A37" s="258">
        <v>9</v>
      </c>
      <c r="B37" s="256" t="s">
        <v>128</v>
      </c>
      <c r="C37" s="244"/>
      <c r="D37" s="244"/>
      <c r="E37" s="244"/>
      <c r="F37" s="244"/>
      <c r="G37" s="245"/>
    </row>
    <row r="38" spans="1:7" ht="12.75">
      <c r="A38" s="261"/>
      <c r="B38" s="264"/>
      <c r="C38" s="274">
        <v>858.41</v>
      </c>
      <c r="D38" s="241"/>
      <c r="E38" s="241"/>
      <c r="F38" s="241">
        <f>C38*0.5</f>
        <v>429.205</v>
      </c>
      <c r="G38" s="242">
        <f>C38*0.5</f>
        <v>429.205</v>
      </c>
    </row>
    <row r="39" spans="1:7" ht="13.5" thickBot="1">
      <c r="A39" s="261"/>
      <c r="B39" s="264"/>
      <c r="C39" s="248"/>
      <c r="D39" s="248"/>
      <c r="E39" s="248"/>
      <c r="F39" s="248"/>
      <c r="G39" s="249"/>
    </row>
    <row r="40" spans="1:7" ht="13.5" thickBot="1">
      <c r="A40" s="258">
        <v>10</v>
      </c>
      <c r="B40" s="256" t="s">
        <v>133</v>
      </c>
      <c r="C40" s="244"/>
      <c r="D40" s="244"/>
      <c r="E40" s="244"/>
      <c r="F40" s="244"/>
      <c r="G40" s="245"/>
    </row>
    <row r="41" spans="1:7" ht="12.75">
      <c r="A41" s="261"/>
      <c r="B41" s="262"/>
      <c r="C41" s="274">
        <v>7368.63</v>
      </c>
      <c r="D41" s="241"/>
      <c r="E41" s="241"/>
      <c r="F41" s="241">
        <f>C41*0.3</f>
        <v>2210.589</v>
      </c>
      <c r="G41" s="242">
        <f>C41*0.7</f>
        <v>5158.041</v>
      </c>
    </row>
    <row r="42" spans="1:7" ht="13.5" thickBot="1">
      <c r="A42" s="261"/>
      <c r="B42" s="262"/>
      <c r="C42" s="248"/>
      <c r="D42" s="248"/>
      <c r="E42" s="248"/>
      <c r="F42" s="248"/>
      <c r="G42" s="249"/>
    </row>
    <row r="43" spans="1:7" ht="13.5" thickBot="1">
      <c r="A43" s="258">
        <v>11</v>
      </c>
      <c r="B43" s="256" t="s">
        <v>153</v>
      </c>
      <c r="C43" s="244"/>
      <c r="D43" s="244"/>
      <c r="E43" s="244"/>
      <c r="F43" s="244"/>
      <c r="G43" s="245"/>
    </row>
    <row r="44" spans="1:7" ht="12.75">
      <c r="A44" s="261"/>
      <c r="B44" s="264"/>
      <c r="C44" s="274">
        <v>4459.48</v>
      </c>
      <c r="D44" s="241"/>
      <c r="E44" s="241"/>
      <c r="F44" s="241">
        <f>0.4*C44</f>
        <v>1783.792</v>
      </c>
      <c r="G44" s="242">
        <f>0.6*C44</f>
        <v>2675.6879999999996</v>
      </c>
    </row>
    <row r="45" spans="1:7" ht="13.5" thickBot="1">
      <c r="A45" s="261"/>
      <c r="B45" s="264"/>
      <c r="C45" s="248"/>
      <c r="D45" s="248"/>
      <c r="E45" s="248"/>
      <c r="F45" s="248"/>
      <c r="G45" s="249"/>
    </row>
    <row r="46" spans="1:7" ht="13.5" thickBot="1">
      <c r="A46" s="258">
        <v>12</v>
      </c>
      <c r="B46" s="256" t="s">
        <v>25</v>
      </c>
      <c r="C46" s="244"/>
      <c r="D46" s="244"/>
      <c r="E46" s="244"/>
      <c r="F46" s="244"/>
      <c r="G46" s="245"/>
    </row>
    <row r="47" spans="1:7" ht="12.75">
      <c r="A47" s="261"/>
      <c r="B47" s="264"/>
      <c r="C47" s="274">
        <v>9715.21</v>
      </c>
      <c r="D47" s="241"/>
      <c r="E47" s="241"/>
      <c r="F47" s="241">
        <f>0.3*C47</f>
        <v>2914.5629999999996</v>
      </c>
      <c r="G47" s="242">
        <f>0.7*C47</f>
        <v>6800.646999999999</v>
      </c>
    </row>
    <row r="48" spans="1:7" ht="13.5" thickBot="1">
      <c r="A48" s="261"/>
      <c r="B48" s="264"/>
      <c r="C48" s="246"/>
      <c r="D48" s="246"/>
      <c r="E48" s="246"/>
      <c r="F48" s="246"/>
      <c r="G48" s="247"/>
    </row>
    <row r="49" spans="1:7" ht="13.5" thickBot="1">
      <c r="A49" s="258">
        <v>13</v>
      </c>
      <c r="B49" s="256" t="s">
        <v>180</v>
      </c>
      <c r="C49" s="243"/>
      <c r="D49" s="243"/>
      <c r="E49" s="243"/>
      <c r="F49" s="243"/>
      <c r="G49" s="250"/>
    </row>
    <row r="50" spans="1:8" ht="12.75">
      <c r="A50" s="265"/>
      <c r="B50" s="264"/>
      <c r="C50" s="274">
        <v>2613.08</v>
      </c>
      <c r="D50" s="241"/>
      <c r="E50" s="241"/>
      <c r="F50" s="241">
        <f>0.7*C50</f>
        <v>1829.1559999999997</v>
      </c>
      <c r="G50" s="242">
        <f>0.3*C50</f>
        <v>783.924</v>
      </c>
      <c r="H50" s="238"/>
    </row>
    <row r="51" spans="1:8" ht="13.5" thickBot="1">
      <c r="A51" s="265"/>
      <c r="B51" s="264"/>
      <c r="C51" s="249"/>
      <c r="D51" s="249"/>
      <c r="E51" s="249"/>
      <c r="F51" s="249"/>
      <c r="G51" s="249"/>
      <c r="H51" s="238"/>
    </row>
    <row r="52" spans="1:8" ht="13.5" thickBot="1">
      <c r="A52" s="255"/>
      <c r="B52" s="256" t="s">
        <v>181</v>
      </c>
      <c r="C52" s="257">
        <f>D52+E52+F52+G52</f>
        <v>96853.42</v>
      </c>
      <c r="D52" s="257">
        <f>D14+D17+D20+D26</f>
        <v>13699.161999999998</v>
      </c>
      <c r="E52" s="257">
        <f>E20+E23+E26</f>
        <v>18268.846</v>
      </c>
      <c r="F52" s="257">
        <f>F23+F26+F29+F32+F35+F38+F41+F44+F47+F50</f>
        <v>35490.191000000006</v>
      </c>
      <c r="G52" s="257">
        <f>G29+G32+G38+G41+G44+G47+G50</f>
        <v>29395.22099999999</v>
      </c>
      <c r="H52" s="238"/>
    </row>
    <row r="53" spans="1:8" ht="12.75">
      <c r="A53" s="265"/>
      <c r="B53" s="264"/>
      <c r="C53" s="266"/>
      <c r="D53" s="266"/>
      <c r="E53" s="266"/>
      <c r="F53" s="266"/>
      <c r="G53" s="267"/>
      <c r="H53" s="238"/>
    </row>
    <row r="54" spans="1:8" ht="12.75">
      <c r="A54" s="265"/>
      <c r="B54" s="264"/>
      <c r="C54" s="266"/>
      <c r="D54" s="266"/>
      <c r="E54" s="266"/>
      <c r="F54" s="266"/>
      <c r="G54" s="267"/>
      <c r="H54" s="238"/>
    </row>
    <row r="55" spans="1:8" ht="12.75">
      <c r="A55" s="265"/>
      <c r="B55" s="264"/>
      <c r="C55" s="266"/>
      <c r="D55" s="266"/>
      <c r="E55" s="266"/>
      <c r="F55" s="266"/>
      <c r="G55" s="267"/>
      <c r="H55" s="238"/>
    </row>
    <row r="56" spans="1:8" ht="12.75">
      <c r="A56" s="265"/>
      <c r="B56" s="264"/>
      <c r="C56" s="266"/>
      <c r="D56" s="266"/>
      <c r="E56" s="266"/>
      <c r="F56" s="266"/>
      <c r="G56" s="267"/>
      <c r="H56" s="238"/>
    </row>
    <row r="57" spans="1:7" ht="12.75">
      <c r="A57" s="265"/>
      <c r="B57" s="264"/>
      <c r="C57" s="262"/>
      <c r="D57" s="262"/>
      <c r="E57" s="262"/>
      <c r="F57" s="262"/>
      <c r="G57" s="268"/>
    </row>
    <row r="58" spans="1:7" ht="12.75">
      <c r="A58" s="265"/>
      <c r="B58" s="262"/>
      <c r="C58" s="262"/>
      <c r="D58" s="262"/>
      <c r="E58" s="262"/>
      <c r="F58" s="262"/>
      <c r="G58" s="268"/>
    </row>
    <row r="59" spans="1:7" ht="12.75">
      <c r="A59" s="269" t="s">
        <v>188</v>
      </c>
      <c r="B59" s="262"/>
      <c r="C59" s="262"/>
      <c r="D59" s="262"/>
      <c r="E59" s="270" t="s">
        <v>189</v>
      </c>
      <c r="F59" s="262"/>
      <c r="G59" s="268"/>
    </row>
    <row r="60" spans="1:7" ht="12.75">
      <c r="A60" s="265"/>
      <c r="B60" s="262"/>
      <c r="C60" s="262"/>
      <c r="D60" s="262"/>
      <c r="E60" s="270" t="s">
        <v>191</v>
      </c>
      <c r="F60" s="262"/>
      <c r="G60" s="268"/>
    </row>
    <row r="61" spans="1:7" ht="12.75">
      <c r="A61" s="265"/>
      <c r="B61" s="262"/>
      <c r="C61" s="262"/>
      <c r="D61" s="262"/>
      <c r="E61" s="270" t="s">
        <v>190</v>
      </c>
      <c r="F61" s="262"/>
      <c r="G61" s="268"/>
    </row>
    <row r="62" spans="1:7" ht="13.5" thickBot="1">
      <c r="A62" s="271"/>
      <c r="B62" s="272"/>
      <c r="C62" s="272"/>
      <c r="D62" s="272"/>
      <c r="E62" s="272"/>
      <c r="F62" s="272"/>
      <c r="G62" s="273"/>
    </row>
  </sheetData>
  <sheetProtection/>
  <mergeCells count="1">
    <mergeCell ref="C10:G10"/>
  </mergeCells>
  <printOptions/>
  <pageMargins left="0.15748031496062992" right="0.15748031496062992" top="0.31496062992125984" bottom="0.22" header="0.15748031496062992" footer="0.16"/>
  <pageSetup horizontalDpi="300" verticalDpi="300" orientation="portrait" paperSize="9" scale="90" r:id="rId3"/>
  <legacyDrawing r:id="rId2"/>
  <oleObjects>
    <oleObject progId="PBrush" shapeId="18447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user</cp:lastModifiedBy>
  <cp:lastPrinted>2017-05-03T11:24:47Z</cp:lastPrinted>
  <dcterms:created xsi:type="dcterms:W3CDTF">1999-02-01T16:53:28Z</dcterms:created>
  <dcterms:modified xsi:type="dcterms:W3CDTF">2017-05-03T11:34:28Z</dcterms:modified>
  <cp:category/>
  <cp:version/>
  <cp:contentType/>
  <cp:contentStatus/>
</cp:coreProperties>
</file>